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worksheets/sheet6.xml" ContentType="application/vnd.openxmlformats-officedocument.spreadsheetml.worksheet+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2.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hidePivotFieldList="1"/>
  <mc:AlternateContent xmlns:mc="http://schemas.openxmlformats.org/markup-compatibility/2006">
    <mc:Choice Requires="x15">
      <x15ac:absPath xmlns:x15ac="http://schemas.microsoft.com/office/spreadsheetml/2010/11/ac" url="https://sheffarpottermuchan.sharepoint.com/sites/SPMFinancial/Shared Documents/Common/Kent, Lewis/"/>
    </mc:Choice>
  </mc:AlternateContent>
  <xr:revisionPtr revIDLastSave="0" documentId="8_{C7DC5F11-B0FC-4AEB-8D2B-772992443AB8}" xr6:coauthVersionLast="47" xr6:coauthVersionMax="47" xr10:uidLastSave="{00000000-0000-0000-0000-000000000000}"/>
  <workbookProtection workbookAlgorithmName="SHA-512" workbookHashValue="a9LK/JlWR5iFngPSngYX9YVAe/OhqH4HAAO8rB/SeSw+REDWe1xyUBaEKAx+e7IZ8/YbcrMZdp9ALoyPxlv6Vg==" workbookSaltValue="WeHB04AzdQyKxXK9YNj62w==" workbookSpinCount="100000" lockStructure="1"/>
  <bookViews>
    <workbookView xWindow="31290" yWindow="1905" windowWidth="21600" windowHeight="11385" tabRatio="737" xr2:uid="{00000000-000D-0000-FFFF-FFFF00000000}"/>
  </bookViews>
  <sheets>
    <sheet name="Budget" sheetId="1" r:id="rId1"/>
    <sheet name="Suggestions" sheetId="5" r:id="rId2"/>
    <sheet name="SuggestionCalculations" sheetId="3" state="hidden" r:id="rId3"/>
    <sheet name="Chart Data" sheetId="7" state="hidden" r:id="rId4"/>
    <sheet name="RulesOfThumb" sheetId="6" state="hidden" r:id="rId5"/>
    <sheet name="Dropdowns" sheetId="2" state="hidden" r:id="rId6"/>
    <sheet name="HelperFunctions" sheetId="4" state="hidden" r:id="rId7"/>
  </sheets>
  <definedNames>
    <definedName name="_xlnm._FilterDatabase" localSheetId="2" hidden="1">SuggestionCalculations!#REF!</definedName>
    <definedName name="AnnualTotalIncome" comment="Annual Total for income">Budget!$B$3</definedName>
    <definedName name="BalanceTotal">Budget!$L$5</definedName>
    <definedName name="ExpensesTotal">Budget!$J$5</definedName>
    <definedName name="Goal">Budget!$L$3</definedName>
    <definedName name="GoalCreateBudget">Dropdowns!$G$34</definedName>
    <definedName name="GoalCutOnExpenses">Dropdowns!$G$32</definedName>
    <definedName name="GoalOther">Dropdowns!$G$35</definedName>
    <definedName name="GoalReduceDebt">Dropdowns!$G$35</definedName>
    <definedName name="GoalSaveMoney">Dropdowns!$G$33</definedName>
    <definedName name="GoalStayOnTrack">Dropdowns!$G$31</definedName>
    <definedName name="HasPersonalization">Budget!$B$1</definedName>
    <definedName name="HasProfile">HelperFunctions!#REF!</definedName>
    <definedName name="Home">Budget!$J$3</definedName>
    <definedName name="HomeOther">Dropdowns!$G$28</definedName>
    <definedName name="HomeOwner">Dropdowns!$G$26</definedName>
    <definedName name="HomeRenting">Dropdowns!$G$27</definedName>
    <definedName name="IncomeTotal">Budget!$F$5</definedName>
    <definedName name="IsGoalCreateBudget">HelperFunctions!$B$20</definedName>
    <definedName name="IsGoalCutOnExpenses">HelperFunctions!$B$18</definedName>
    <definedName name="IsGoalOther">HelperFunctions!$B$21</definedName>
    <definedName name="IsGoalReduceDebt">HelperFunctions!$B$21</definedName>
    <definedName name="IsGoalSaveMoney">HelperFunctions!$B$19</definedName>
    <definedName name="IsGoalStayOnTrack">HelperFunctions!$B$17</definedName>
    <definedName name="IsHomeOther">HelperFunctions!$B$15</definedName>
    <definedName name="IsHomeOwner">HelperFunctions!$B$14</definedName>
    <definedName name="IsHomeRenting">HelperFunctions!$B$16</definedName>
    <definedName name="IsLifeCouple">HelperFunctions!$B$3</definedName>
    <definedName name="IsLifeCoupleKids">HelperFunctions!$B$5</definedName>
    <definedName name="IsLifeOther">HelperFunctions!$B$6</definedName>
    <definedName name="IsLifeSingle">HelperFunctions!$B$2</definedName>
    <definedName name="IsLifeSingleKids">HelperFunctions!$B$4</definedName>
    <definedName name="IsWorkFullTime">HelperFunctions!$B$8</definedName>
    <definedName name="IsWorkOther">HelperFunctions!$B$13</definedName>
    <definedName name="IsWorkPartTime">HelperFunctions!$B$7</definedName>
    <definedName name="IsWorkRetired">HelperFunctions!$B$11</definedName>
    <definedName name="IsWorkSelfEmployed">HelperFunctions!$B$9</definedName>
    <definedName name="IsWorkStudent">HelperFunctions!$B$10</definedName>
    <definedName name="IsWorkUnemployed">HelperFunctions!$B$12</definedName>
    <definedName name="Life">Budget!$D$3</definedName>
    <definedName name="LifeCouple">Dropdowns!$G$3</definedName>
    <definedName name="LifeCoupleKids">Dropdowns!$G$5</definedName>
    <definedName name="LifeOther">Dropdowns!$G$6</definedName>
    <definedName name="LifeSingle">Dropdowns!$G$2</definedName>
    <definedName name="LifeSingleKids">Dropdowns!$G$4</definedName>
    <definedName name="NoProfile">HelperFunctions!#REF!</definedName>
    <definedName name="Periods">Dropdowns!$A$1:$B$9</definedName>
    <definedName name="SavingsTotal">Budget!$H$5</definedName>
    <definedName name="SavingsType1">Dropdowns!$E$9:$E$12</definedName>
    <definedName name="SavingsTypeAll">Dropdowns!$E$1:$E$7</definedName>
    <definedName name="TotalChildcare">Budget!$D$171</definedName>
    <definedName name="TotalClothing">Budget!$D$241</definedName>
    <definedName name="TotalCommunications">Budget!$D$101</definedName>
    <definedName name="TotalDebt">Budget!$D$58</definedName>
    <definedName name="TotalEducation">Budget!$D$188</definedName>
    <definedName name="TotalFees">Budget!$D$288</definedName>
    <definedName name="TotalFood">Budget!$D$119</definedName>
    <definedName name="TotalGifts">Budget!$D$304</definedName>
    <definedName name="TotalHousing">Budget!$D$75</definedName>
    <definedName name="TotalInsurance">Budget!$D$134</definedName>
    <definedName name="TotalMedical">Budget!$D$257</definedName>
    <definedName name="TotalPersonalCare">Budget!$D$225</definedName>
    <definedName name="TotalPets">Budget!$D$273</definedName>
    <definedName name="TotalRecreation">Budget!$D$204</definedName>
    <definedName name="TotalTranportation">Budget!$D$150</definedName>
    <definedName name="Work">Budget!$H$3</definedName>
    <definedName name="WorkFulltime">Dropdowns!$G$17</definedName>
    <definedName name="WorkOther">Dropdowns!$G$22</definedName>
    <definedName name="WorkParttime">Dropdowns!$G$16</definedName>
    <definedName name="WorkRetired">Dropdowns!$G$20</definedName>
    <definedName name="WorkSelfemployed">Dropdowns!$G$18</definedName>
    <definedName name="WorkStudent">Dropdowns!$G$19</definedName>
    <definedName name="WorkUnemployed">Dropdowns!$G$21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4" l="1"/>
  <c r="B20" i="4"/>
  <c r="B19" i="4"/>
  <c r="B18" i="4"/>
  <c r="B17" i="4"/>
  <c r="B16" i="4"/>
  <c r="B15" i="4"/>
  <c r="B14" i="4"/>
  <c r="B13" i="4"/>
  <c r="B12" i="4"/>
  <c r="B11" i="4"/>
  <c r="B10" i="4"/>
  <c r="B9" i="4"/>
  <c r="B8" i="4"/>
  <c r="B7" i="4"/>
  <c r="B6" i="4"/>
  <c r="B5" i="4"/>
  <c r="B4" i="4"/>
  <c r="B3" i="4"/>
  <c r="B2" i="4"/>
  <c r="F18" i="7"/>
  <c r="A18" i="7"/>
  <c r="F17" i="7"/>
  <c r="A17" i="7"/>
  <c r="F16" i="7"/>
  <c r="A16" i="7"/>
  <c r="F15" i="7"/>
  <c r="A15" i="7"/>
  <c r="F14" i="7"/>
  <c r="A14" i="7"/>
  <c r="F13" i="7"/>
  <c r="A13" i="7"/>
  <c r="F12" i="7"/>
  <c r="A12" i="7"/>
  <c r="F11" i="7"/>
  <c r="A11" i="7"/>
  <c r="F10" i="7"/>
  <c r="A10" i="7"/>
  <c r="F9" i="7"/>
  <c r="A9" i="7"/>
  <c r="F8" i="7"/>
  <c r="A8" i="7"/>
  <c r="F7" i="7"/>
  <c r="A7" i="7"/>
  <c r="F6" i="7"/>
  <c r="A6" i="7"/>
  <c r="F5" i="7"/>
  <c r="A5" i="7"/>
  <c r="A4" i="7"/>
  <c r="F3" i="7"/>
  <c r="A3" i="7"/>
  <c r="A2" i="7"/>
  <c r="B318" i="1"/>
  <c r="B317" i="1"/>
  <c r="B316" i="1"/>
  <c r="B315" i="1"/>
  <c r="B314" i="1"/>
  <c r="B313" i="1"/>
  <c r="B312" i="1"/>
  <c r="B311" i="1"/>
  <c r="B310" i="1"/>
  <c r="B309" i="1"/>
  <c r="B308" i="1"/>
  <c r="B307" i="1"/>
  <c r="B306" i="1"/>
  <c r="B303" i="1"/>
  <c r="B302" i="1"/>
  <c r="B301" i="1"/>
  <c r="B300" i="1"/>
  <c r="B299" i="1"/>
  <c r="B298" i="1"/>
  <c r="B297" i="1"/>
  <c r="B296" i="1"/>
  <c r="B295" i="1"/>
  <c r="B294" i="1"/>
  <c r="B293" i="1"/>
  <c r="B292" i="1"/>
  <c r="B291" i="1"/>
  <c r="D43" i="3" s="1"/>
  <c r="B290" i="1"/>
  <c r="B287" i="1"/>
  <c r="B286" i="1"/>
  <c r="B285" i="1"/>
  <c r="B284" i="1"/>
  <c r="B283" i="1"/>
  <c r="B282" i="1"/>
  <c r="B281" i="1"/>
  <c r="B280" i="1"/>
  <c r="B279" i="1"/>
  <c r="B278" i="1"/>
  <c r="B277" i="1"/>
  <c r="B276" i="1"/>
  <c r="B275" i="1"/>
  <c r="B272" i="1"/>
  <c r="B271" i="1"/>
  <c r="B270" i="1"/>
  <c r="B269" i="1"/>
  <c r="B268" i="1"/>
  <c r="B267" i="1"/>
  <c r="B266" i="1"/>
  <c r="B265" i="1"/>
  <c r="B264" i="1"/>
  <c r="B263" i="1"/>
  <c r="B262" i="1"/>
  <c r="B261" i="1"/>
  <c r="B260" i="1"/>
  <c r="B259" i="1"/>
  <c r="B256" i="1"/>
  <c r="B255" i="1"/>
  <c r="B254" i="1"/>
  <c r="B253" i="1"/>
  <c r="B252" i="1"/>
  <c r="B251" i="1"/>
  <c r="B250" i="1"/>
  <c r="B249" i="1"/>
  <c r="B248" i="1"/>
  <c r="B247" i="1"/>
  <c r="B246" i="1"/>
  <c r="B245" i="1"/>
  <c r="B244" i="1"/>
  <c r="B243" i="1"/>
  <c r="D41" i="3" s="1"/>
  <c r="B240" i="1"/>
  <c r="B239" i="1"/>
  <c r="B238" i="1"/>
  <c r="B237" i="1"/>
  <c r="B236" i="1"/>
  <c r="B235" i="1"/>
  <c r="B234" i="1"/>
  <c r="B233" i="1"/>
  <c r="B232" i="1"/>
  <c r="B231" i="1"/>
  <c r="B230" i="1"/>
  <c r="B229" i="1"/>
  <c r="B228" i="1"/>
  <c r="B227" i="1"/>
  <c r="B224" i="1"/>
  <c r="B223" i="1"/>
  <c r="B222" i="1"/>
  <c r="B221" i="1"/>
  <c r="B220" i="1"/>
  <c r="B219" i="1"/>
  <c r="B218" i="1"/>
  <c r="B217" i="1"/>
  <c r="B216" i="1"/>
  <c r="B215" i="1"/>
  <c r="B214" i="1"/>
  <c r="B213" i="1"/>
  <c r="B212" i="1"/>
  <c r="B211" i="1"/>
  <c r="B210" i="1"/>
  <c r="B209" i="1"/>
  <c r="B208" i="1"/>
  <c r="B207" i="1"/>
  <c r="D40" i="3" s="1"/>
  <c r="B206" i="1"/>
  <c r="B203" i="1"/>
  <c r="B202" i="1"/>
  <c r="B201" i="1"/>
  <c r="B200" i="1"/>
  <c r="B199" i="1"/>
  <c r="B198" i="1"/>
  <c r="B197" i="1"/>
  <c r="B196" i="1"/>
  <c r="B195" i="1"/>
  <c r="B194" i="1"/>
  <c r="B193" i="1"/>
  <c r="B192" i="1"/>
  <c r="B191" i="1"/>
  <c r="B190" i="1"/>
  <c r="D39" i="3" s="1"/>
  <c r="B187" i="1"/>
  <c r="B186" i="1"/>
  <c r="B185" i="1"/>
  <c r="B184" i="1"/>
  <c r="B183" i="1"/>
  <c r="B182" i="1"/>
  <c r="B181" i="1"/>
  <c r="B180" i="1"/>
  <c r="B179" i="1"/>
  <c r="B178" i="1"/>
  <c r="B177" i="1"/>
  <c r="B176" i="1"/>
  <c r="B175" i="1"/>
  <c r="B174" i="1"/>
  <c r="B173" i="1"/>
  <c r="B170" i="1"/>
  <c r="B169" i="1"/>
  <c r="B168" i="1"/>
  <c r="B167" i="1"/>
  <c r="B166" i="1"/>
  <c r="B165" i="1"/>
  <c r="B164" i="1"/>
  <c r="B163" i="1"/>
  <c r="B162" i="1"/>
  <c r="B161" i="1"/>
  <c r="B160" i="1"/>
  <c r="B159" i="1"/>
  <c r="B158" i="1"/>
  <c r="B157" i="1"/>
  <c r="B156" i="1"/>
  <c r="B155" i="1"/>
  <c r="B154" i="1"/>
  <c r="B153" i="1"/>
  <c r="D38" i="3" s="1"/>
  <c r="B152" i="1"/>
  <c r="D37" i="3" s="1"/>
  <c r="B149" i="1"/>
  <c r="B148" i="1"/>
  <c r="B147" i="1"/>
  <c r="B146" i="1"/>
  <c r="B145" i="1"/>
  <c r="B144" i="1"/>
  <c r="B143" i="1"/>
  <c r="B142" i="1"/>
  <c r="B141" i="1"/>
  <c r="B140" i="1"/>
  <c r="B139" i="1"/>
  <c r="B138" i="1"/>
  <c r="D36" i="3" s="1"/>
  <c r="B137" i="1"/>
  <c r="D35" i="3" s="1"/>
  <c r="B136" i="1"/>
  <c r="D34" i="3" s="1"/>
  <c r="B133" i="1"/>
  <c r="B132" i="1"/>
  <c r="B131" i="1"/>
  <c r="B130" i="1"/>
  <c r="B129" i="1"/>
  <c r="B128" i="1"/>
  <c r="B127" i="1"/>
  <c r="B126" i="1"/>
  <c r="B125" i="1"/>
  <c r="B124" i="1"/>
  <c r="B123" i="1"/>
  <c r="B122" i="1"/>
  <c r="D33" i="3" s="1"/>
  <c r="B121" i="1"/>
  <c r="D32" i="3" s="1"/>
  <c r="B118" i="1"/>
  <c r="B117" i="1"/>
  <c r="B116" i="1"/>
  <c r="B115" i="1"/>
  <c r="B114" i="1"/>
  <c r="B113" i="1"/>
  <c r="B112" i="1"/>
  <c r="B111" i="1"/>
  <c r="B110" i="1"/>
  <c r="B109" i="1"/>
  <c r="B108" i="1"/>
  <c r="B107" i="1"/>
  <c r="B106" i="1"/>
  <c r="B105" i="1"/>
  <c r="D31" i="3" s="1"/>
  <c r="B104" i="1"/>
  <c r="D30" i="3" s="1"/>
  <c r="B103" i="1"/>
  <c r="B100" i="1"/>
  <c r="B99" i="1"/>
  <c r="B98" i="1"/>
  <c r="B97" i="1"/>
  <c r="B96" i="1"/>
  <c r="B95" i="1"/>
  <c r="B94" i="1"/>
  <c r="B93" i="1"/>
  <c r="B92" i="1"/>
  <c r="B91" i="1"/>
  <c r="B90" i="1"/>
  <c r="B89" i="1"/>
  <c r="D28" i="3" s="1"/>
  <c r="B88" i="1"/>
  <c r="D27" i="3" s="1"/>
  <c r="B87" i="1"/>
  <c r="D26" i="3" s="1"/>
  <c r="B86" i="1"/>
  <c r="B85" i="1"/>
  <c r="B84" i="1"/>
  <c r="B83" i="1"/>
  <c r="D25" i="3" s="1"/>
  <c r="B82" i="1"/>
  <c r="D24" i="3" s="1"/>
  <c r="B81" i="1"/>
  <c r="B80" i="1"/>
  <c r="B79" i="1"/>
  <c r="D23" i="3" s="1"/>
  <c r="B78" i="1"/>
  <c r="D21" i="3" s="1"/>
  <c r="B77" i="1"/>
  <c r="B74" i="1"/>
  <c r="B73" i="1"/>
  <c r="B72" i="1"/>
  <c r="B71" i="1"/>
  <c r="B70" i="1"/>
  <c r="B69" i="1"/>
  <c r="B68" i="1"/>
  <c r="B67" i="1"/>
  <c r="B66" i="1"/>
  <c r="B65" i="1"/>
  <c r="B64" i="1"/>
  <c r="B63" i="1"/>
  <c r="D20" i="3" s="1"/>
  <c r="B62" i="1"/>
  <c r="D19" i="3" s="1"/>
  <c r="B61" i="1"/>
  <c r="D18" i="3" s="1"/>
  <c r="B60" i="1"/>
  <c r="B55" i="1"/>
  <c r="B54" i="1"/>
  <c r="B53" i="1"/>
  <c r="B52" i="1"/>
  <c r="B51" i="1"/>
  <c r="B50" i="1"/>
  <c r="B49" i="1"/>
  <c r="B48" i="1"/>
  <c r="B47" i="1"/>
  <c r="I46" i="1"/>
  <c r="B46" i="1"/>
  <c r="B45" i="1"/>
  <c r="B44" i="1"/>
  <c r="B43" i="1"/>
  <c r="D16" i="3" s="1"/>
  <c r="B42" i="1"/>
  <c r="D15" i="3" s="1"/>
  <c r="B41" i="1"/>
  <c r="D14" i="3" s="1"/>
  <c r="B40" i="1"/>
  <c r="D12" i="3" s="1"/>
  <c r="B39" i="1"/>
  <c r="D10" i="3" s="1"/>
  <c r="B38" i="1"/>
  <c r="D9" i="3" s="1"/>
  <c r="B34" i="1"/>
  <c r="B33" i="1"/>
  <c r="B32" i="1"/>
  <c r="B31" i="1"/>
  <c r="B30" i="1"/>
  <c r="B29" i="1"/>
  <c r="B28" i="1"/>
  <c r="B27" i="1"/>
  <c r="B26" i="1"/>
  <c r="B25" i="1"/>
  <c r="B24" i="1"/>
  <c r="B23" i="1"/>
  <c r="B22" i="1"/>
  <c r="B21" i="1"/>
  <c r="B20" i="1"/>
  <c r="B19" i="1"/>
  <c r="B18" i="1"/>
  <c r="B17" i="1"/>
  <c r="B16" i="1"/>
  <c r="B15" i="1"/>
  <c r="B14" i="1"/>
  <c r="B13" i="1"/>
  <c r="B12" i="1"/>
  <c r="D304" i="1" l="1"/>
  <c r="D257" i="1"/>
  <c r="D288" i="1"/>
  <c r="D171" i="1"/>
  <c r="D225" i="1"/>
  <c r="D273" i="1"/>
  <c r="D11" i="3"/>
  <c r="D188" i="1"/>
  <c r="D58" i="1"/>
  <c r="D241" i="1"/>
  <c r="D204" i="1"/>
  <c r="D150" i="1"/>
  <c r="D134" i="1"/>
  <c r="D119" i="1"/>
  <c r="D101" i="1"/>
  <c r="D75" i="1"/>
  <c r="D17" i="3"/>
  <c r="B3" i="1"/>
  <c r="E43" i="3" s="1"/>
  <c r="F43" i="3" s="1"/>
  <c r="D10" i="1"/>
  <c r="F5" i="1" s="1"/>
  <c r="G11" i="1" s="1"/>
  <c r="D13" i="3"/>
  <c r="D36" i="1"/>
  <c r="D29" i="3"/>
  <c r="D22" i="3"/>
  <c r="D42" i="3"/>
  <c r="D57" i="1" l="1"/>
  <c r="J5" i="1" s="1"/>
  <c r="E16" i="3"/>
  <c r="F16" i="3" s="1"/>
  <c r="E13" i="3"/>
  <c r="F13" i="3" s="1"/>
  <c r="E18" i="3"/>
  <c r="F18" i="3" s="1"/>
  <c r="E34" i="3"/>
  <c r="F34" i="3" s="1"/>
  <c r="E31" i="3"/>
  <c r="F31" i="3" s="1"/>
  <c r="E20" i="3"/>
  <c r="F20" i="3" s="1"/>
  <c r="E36" i="3"/>
  <c r="E17" i="3"/>
  <c r="F17" i="3" s="1"/>
  <c r="E33" i="3"/>
  <c r="F33" i="3" s="1"/>
  <c r="E22" i="3"/>
  <c r="F22" i="3" s="1"/>
  <c r="E38" i="3"/>
  <c r="F38" i="3" s="1"/>
  <c r="E19" i="3"/>
  <c r="F19" i="3" s="1"/>
  <c r="E35" i="3"/>
  <c r="E24" i="3"/>
  <c r="F24" i="3" s="1"/>
  <c r="E40" i="3"/>
  <c r="F40" i="3" s="1"/>
  <c r="E21" i="3"/>
  <c r="F21" i="3" s="1"/>
  <c r="E37" i="3"/>
  <c r="F37" i="3" s="1"/>
  <c r="E32" i="3"/>
  <c r="F32" i="3" s="1"/>
  <c r="E29" i="3"/>
  <c r="F29" i="3" s="1"/>
  <c r="E15" i="3"/>
  <c r="F15" i="3" s="1"/>
  <c r="E257" i="1"/>
  <c r="F257" i="1" s="1"/>
  <c r="F2" i="3"/>
  <c r="G2" i="3" s="1"/>
  <c r="E10" i="3"/>
  <c r="E26" i="3"/>
  <c r="F26" i="3" s="1"/>
  <c r="E42" i="3"/>
  <c r="F42" i="3"/>
  <c r="E23" i="3"/>
  <c r="F23" i="3" s="1"/>
  <c r="E39" i="3"/>
  <c r="F39" i="3" s="1"/>
  <c r="F11" i="3"/>
  <c r="E12" i="3"/>
  <c r="E28" i="3"/>
  <c r="F28" i="3" s="1"/>
  <c r="F10" i="3"/>
  <c r="E9" i="3"/>
  <c r="F9" i="3" s="1"/>
  <c r="E25" i="3"/>
  <c r="E41" i="3"/>
  <c r="F41" i="3" s="1"/>
  <c r="E14" i="3"/>
  <c r="F14" i="3" s="1"/>
  <c r="E30" i="3"/>
  <c r="F30" i="3" s="1"/>
  <c r="F12" i="3"/>
  <c r="E11" i="3"/>
  <c r="E27" i="3"/>
  <c r="F27" i="3" s="1"/>
  <c r="E225" i="1"/>
  <c r="F225" i="1" s="1"/>
  <c r="E101" i="1"/>
  <c r="F101" i="1" s="1"/>
  <c r="E288" i="1"/>
  <c r="F288" i="1" s="1"/>
  <c r="E58" i="1"/>
  <c r="F58" i="1" s="1"/>
  <c r="H5" i="1"/>
  <c r="E134" i="1"/>
  <c r="F134" i="1" s="1"/>
  <c r="E119" i="1"/>
  <c r="F119" i="1" s="1"/>
  <c r="F36" i="1"/>
  <c r="G36" i="1" s="1"/>
  <c r="B2" i="7"/>
  <c r="G3" i="7" s="1"/>
  <c r="I3" i="7" s="1"/>
  <c r="F10" i="1"/>
  <c r="C21" i="7"/>
  <c r="E10" i="1"/>
  <c r="B36" i="1"/>
  <c r="E241" i="1"/>
  <c r="F241" i="1" s="1"/>
  <c r="E171" i="1"/>
  <c r="F171" i="1" s="1"/>
  <c r="E304" i="1"/>
  <c r="F304" i="1" s="1"/>
  <c r="E204" i="1"/>
  <c r="F204" i="1" s="1"/>
  <c r="E273" i="1"/>
  <c r="F273" i="1" s="1"/>
  <c r="E150" i="1"/>
  <c r="F150" i="1" s="1"/>
  <c r="E188" i="1"/>
  <c r="F188" i="1" s="1"/>
  <c r="E75" i="1"/>
  <c r="F75" i="1" s="1"/>
  <c r="B57" i="1" l="1"/>
  <c r="F25" i="3"/>
  <c r="F35" i="3"/>
  <c r="F36" i="3" s="1"/>
  <c r="B16" i="7"/>
  <c r="C16" i="7" s="1"/>
  <c r="H16" i="7" s="1"/>
  <c r="B8" i="7"/>
  <c r="C8" i="7" s="1"/>
  <c r="H8" i="7" s="1"/>
  <c r="B4" i="7"/>
  <c r="E4" i="7" s="1"/>
  <c r="B10" i="1"/>
  <c r="C22" i="7"/>
  <c r="B15" i="7"/>
  <c r="C15" i="7" s="1"/>
  <c r="H15" i="7" s="1"/>
  <c r="B7" i="7"/>
  <c r="C7" i="7" s="1"/>
  <c r="H7" i="7" s="1"/>
  <c r="B3" i="7"/>
  <c r="E3" i="7" s="1"/>
  <c r="B22" i="7"/>
  <c r="E22" i="7" s="1"/>
  <c r="B14" i="7"/>
  <c r="C14" i="7" s="1"/>
  <c r="H14" i="7" s="1"/>
  <c r="B6" i="7"/>
  <c r="C6" i="7" s="1"/>
  <c r="H6" i="7" s="1"/>
  <c r="B13" i="7"/>
  <c r="C13" i="7" s="1"/>
  <c r="H13" i="7" s="1"/>
  <c r="B5" i="7"/>
  <c r="C5" i="7" s="1"/>
  <c r="C2" i="7"/>
  <c r="F21" i="7"/>
  <c r="B12" i="7"/>
  <c r="C12" i="7" s="1"/>
  <c r="H12" i="7" s="1"/>
  <c r="B11" i="7"/>
  <c r="C11" i="7" s="1"/>
  <c r="H11" i="7" s="1"/>
  <c r="L5" i="1"/>
  <c r="D7" i="1" s="1"/>
  <c r="B18" i="7"/>
  <c r="C18" i="7" s="1"/>
  <c r="H18" i="7" s="1"/>
  <c r="B10" i="7"/>
  <c r="C10" i="7" s="1"/>
  <c r="H10" i="7" s="1"/>
  <c r="B17" i="7"/>
  <c r="C17" i="7" s="1"/>
  <c r="H17" i="7" s="1"/>
  <c r="B9" i="7"/>
  <c r="C9" i="7" s="1"/>
  <c r="H9" i="7" s="1"/>
  <c r="F7" i="1"/>
  <c r="D7" i="7" l="1"/>
  <c r="D8" i="7"/>
  <c r="D16" i="7"/>
  <c r="D22" i="7"/>
  <c r="G22" i="7" s="1"/>
  <c r="D12" i="7"/>
  <c r="H5" i="7"/>
  <c r="D5" i="7"/>
  <c r="D18" i="7"/>
  <c r="D6" i="7"/>
  <c r="D17" i="7"/>
  <c r="D11" i="7"/>
  <c r="D10" i="7"/>
  <c r="D14" i="7"/>
  <c r="D13" i="7"/>
  <c r="D15" i="7"/>
  <c r="D9" i="7"/>
  <c r="C3" i="7"/>
  <c r="D21" i="7"/>
  <c r="G21" i="7" s="1"/>
  <c r="F22" i="7"/>
  <c r="C4" i="7"/>
  <c r="D4" i="7" s="1"/>
  <c r="E12" i="7"/>
  <c r="G12" i="7"/>
  <c r="I12" i="7" s="1"/>
  <c r="G17" i="7"/>
  <c r="I17" i="7" s="1"/>
  <c r="E17" i="7"/>
  <c r="G18" i="7"/>
  <c r="I18" i="7" s="1"/>
  <c r="E18" i="7"/>
  <c r="B24" i="7"/>
  <c r="G6" i="7"/>
  <c r="I6" i="7" s="1"/>
  <c r="E6" i="7"/>
  <c r="G7" i="7"/>
  <c r="I7" i="7" s="1"/>
  <c r="E7" i="7"/>
  <c r="F3" i="3"/>
  <c r="F4" i="3"/>
  <c r="F5" i="3"/>
  <c r="F6" i="3"/>
  <c r="F8" i="3"/>
  <c r="F7" i="3"/>
  <c r="E5" i="7"/>
  <c r="G5" i="7"/>
  <c r="I5" i="7" s="1"/>
  <c r="G8" i="7"/>
  <c r="I8" i="7" s="1"/>
  <c r="E8" i="7"/>
  <c r="G14" i="7"/>
  <c r="I14" i="7" s="1"/>
  <c r="E14" i="7"/>
  <c r="G15" i="7"/>
  <c r="I15" i="7" s="1"/>
  <c r="E15" i="7"/>
  <c r="G9" i="7"/>
  <c r="I9" i="7" s="1"/>
  <c r="E9" i="7"/>
  <c r="G10" i="7"/>
  <c r="I10" i="7" s="1"/>
  <c r="E10" i="7"/>
  <c r="G11" i="7"/>
  <c r="I11" i="7" s="1"/>
  <c r="E11" i="7"/>
  <c r="E13" i="7"/>
  <c r="G13" i="7"/>
  <c r="I13" i="7" s="1"/>
  <c r="G16" i="7"/>
  <c r="I16" i="7" s="1"/>
  <c r="E16" i="7"/>
  <c r="H3" i="7" l="1"/>
  <c r="D3" i="7"/>
  <c r="G36" i="3"/>
  <c r="G31" i="3"/>
  <c r="G3" i="3"/>
  <c r="G13" i="3"/>
  <c r="G32" i="3"/>
  <c r="G43" i="3"/>
  <c r="G34" i="3"/>
  <c r="G11" i="3"/>
  <c r="G30" i="3"/>
  <c r="G14" i="3"/>
  <c r="G41" i="3"/>
  <c r="G25" i="3"/>
  <c r="G9" i="3"/>
  <c r="G5" i="3"/>
  <c r="G28" i="3"/>
  <c r="G12" i="3"/>
  <c r="G39" i="3"/>
  <c r="G23" i="3"/>
  <c r="G6" i="3"/>
  <c r="G42" i="3"/>
  <c r="G26" i="3"/>
  <c r="G37" i="3"/>
  <c r="G40" i="3"/>
  <c r="G24" i="3"/>
  <c r="G8" i="3"/>
  <c r="G35" i="3"/>
  <c r="G19" i="3"/>
  <c r="G38" i="3"/>
  <c r="G22" i="3"/>
  <c r="G4" i="3"/>
  <c r="G33" i="3"/>
  <c r="G17" i="3"/>
  <c r="G20" i="3"/>
  <c r="G7" i="3"/>
  <c r="G15" i="3"/>
  <c r="G18" i="3"/>
  <c r="G29" i="3"/>
  <c r="G16" i="3"/>
  <c r="G27" i="3"/>
  <c r="G10" i="3"/>
  <c r="G21" i="3"/>
  <c r="C3" i="5" l="1"/>
  <c r="B3" i="5"/>
  <c r="A3" i="5"/>
  <c r="C42" i="5"/>
  <c r="A40" i="5"/>
  <c r="C18" i="5"/>
  <c r="B18" i="5"/>
  <c r="A26" i="5"/>
  <c r="C4" i="5"/>
  <c r="B20" i="5"/>
  <c r="B41" i="5"/>
  <c r="A20" i="5"/>
  <c r="B38" i="5"/>
  <c r="A17" i="5"/>
  <c r="B35" i="5"/>
  <c r="A14" i="5"/>
  <c r="C15" i="5"/>
  <c r="B24" i="5"/>
  <c r="A32" i="5"/>
  <c r="A18" i="5"/>
  <c r="B12" i="5"/>
  <c r="A12" i="5"/>
  <c r="A9" i="5"/>
  <c r="A6" i="5"/>
  <c r="B16" i="5"/>
  <c r="B29" i="5"/>
  <c r="C36" i="5"/>
  <c r="B15" i="5"/>
  <c r="C9" i="5"/>
  <c r="B9" i="5"/>
  <c r="B6" i="5"/>
  <c r="B5" i="5"/>
  <c r="B28" i="5"/>
  <c r="A28" i="5"/>
  <c r="A25" i="5"/>
  <c r="A22" i="5"/>
  <c r="B32" i="5"/>
  <c r="A11" i="5"/>
  <c r="A13" i="5"/>
  <c r="A24" i="5"/>
  <c r="B31" i="5"/>
  <c r="A10" i="5"/>
  <c r="C25" i="5"/>
  <c r="B25" i="5"/>
  <c r="B22" i="5"/>
  <c r="B19" i="5"/>
  <c r="C29" i="5"/>
  <c r="B21" i="5"/>
  <c r="B7" i="5"/>
  <c r="A23" i="5"/>
  <c r="C41" i="5"/>
  <c r="C19" i="5"/>
  <c r="C23" i="5"/>
  <c r="B37" i="5"/>
  <c r="A16" i="5"/>
  <c r="B10" i="5"/>
  <c r="B23" i="5"/>
  <c r="A39" i="5"/>
  <c r="C17" i="5"/>
  <c r="C38" i="5"/>
  <c r="B17" i="5"/>
  <c r="C35" i="5"/>
  <c r="B14" i="5"/>
  <c r="C32" i="5"/>
  <c r="B11" i="5"/>
  <c r="A5" i="5"/>
  <c r="C21" i="5"/>
  <c r="B42" i="5"/>
  <c r="C10" i="5"/>
  <c r="B39" i="5"/>
  <c r="C33" i="5"/>
  <c r="B33" i="5"/>
  <c r="B30" i="5"/>
  <c r="B27" i="5"/>
  <c r="C37" i="5"/>
  <c r="B26" i="5"/>
  <c r="A8" i="5"/>
  <c r="A31" i="5"/>
  <c r="C30" i="5"/>
  <c r="C27" i="5"/>
  <c r="C24" i="5"/>
  <c r="A35" i="5"/>
  <c r="C13" i="5"/>
  <c r="A21" i="5"/>
  <c r="C26" i="5"/>
  <c r="A34" i="5"/>
  <c r="C12" i="5"/>
  <c r="A7" i="5"/>
  <c r="C6" i="5"/>
  <c r="A37" i="5"/>
  <c r="B4" i="5"/>
  <c r="A4" i="5"/>
  <c r="C40" i="5"/>
  <c r="C31" i="5"/>
  <c r="B8" i="5"/>
  <c r="C28" i="5"/>
  <c r="C22" i="5"/>
  <c r="A38" i="5"/>
  <c r="A27" i="5"/>
  <c r="C34" i="5"/>
  <c r="B13" i="5"/>
  <c r="A42" i="5"/>
  <c r="C20" i="5"/>
  <c r="B36" i="5"/>
  <c r="A15" i="5"/>
  <c r="A36" i="5"/>
  <c r="C14" i="5"/>
  <c r="A33" i="5"/>
  <c r="C11" i="5"/>
  <c r="A30" i="5"/>
  <c r="C8" i="5"/>
  <c r="B40" i="5"/>
  <c r="A19" i="5"/>
  <c r="B34" i="5"/>
  <c r="C39" i="5"/>
  <c r="C7" i="5"/>
  <c r="A29" i="5"/>
  <c r="A41" i="5"/>
  <c r="C16" i="5"/>
  <c r="C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Pauley Idurot (FCAC/ACFC) (Contractor)</author>
    <author>Alex Begin (FCAC/ACFC)</author>
  </authors>
  <commentList>
    <comment ref="C12" authorId="0" shapeId="0" xr:uid="{00000000-0006-0000-0000-000001000000}">
      <text>
        <r>
          <rPr>
            <sz val="9"/>
            <color indexed="81"/>
            <rFont val="Tahoma"/>
            <family val="2"/>
          </rPr>
          <t>Amount you receive after 
deductions are taken off, 
in other words, your net pay.</t>
        </r>
      </text>
    </comment>
    <comment ref="C14" authorId="0" shapeId="0" xr:uid="{00000000-0006-0000-0000-000002000000}">
      <text>
        <r>
          <rPr>
            <sz val="9"/>
            <color indexed="81"/>
            <rFont val="Tahoma"/>
            <family val="2"/>
          </rPr>
          <t>Income provided to unemployed 
workers while they look for 
employment or to upgrade their skills.</t>
        </r>
      </text>
    </comment>
    <comment ref="C15" authorId="0" shapeId="0" xr:uid="{00000000-0006-0000-0000-000003000000}">
      <text>
        <r>
          <rPr>
            <sz val="9"/>
            <color indexed="81"/>
            <rFont val="Tahoma"/>
            <family val="2"/>
          </rPr>
          <t>Income earned from a 
property you own if you 
rent space.</t>
        </r>
      </text>
    </comment>
    <comment ref="C16" authorId="0" shapeId="0" xr:uid="{00000000-0006-0000-0000-000004000000}">
      <text>
        <r>
          <rPr>
            <sz val="9"/>
            <color indexed="81"/>
            <rFont val="Tahoma"/>
            <family val="2"/>
          </rPr>
          <t>Income that may be provided during 
retirement, such as Old Age Security (OAS), 
Canada Pension Plan (CPP), Guaranteed 
Income Supplement (GIS), etc.</t>
        </r>
      </text>
    </comment>
    <comment ref="C17" authorId="0" shapeId="0" xr:uid="{00000000-0006-0000-0000-000005000000}">
      <text>
        <r>
          <rPr>
            <sz val="9"/>
            <color indexed="81"/>
            <rFont val="Tahoma"/>
            <family val="2"/>
          </rPr>
          <t>Income that may be provided 
by your former employer(s) 
when you retire.</t>
        </r>
      </text>
    </comment>
    <comment ref="C18" authorId="0" shapeId="0" xr:uid="{00000000-0006-0000-0000-000006000000}">
      <text>
        <r>
          <rPr>
            <sz val="9"/>
            <color indexed="81"/>
            <rFont val="Tahoma"/>
            <family val="2"/>
          </rPr>
          <t>Income you receive during your retirement 
from withdrawing your own savings, such 
as Registered Retirement Savings Plan (RRSP), 
Registered Retirement Income Fund (RRIF), etc.</t>
        </r>
      </text>
    </comment>
    <comment ref="C19" authorId="0" shapeId="0" xr:uid="{00000000-0006-0000-0000-000007000000}">
      <text>
        <r>
          <rPr>
            <sz val="9"/>
            <color indexed="81"/>
            <rFont val="Tahoma"/>
            <family val="2"/>
          </rPr>
          <t>Amounts received from RESPs, 
scholarships, grants or student loans.</t>
        </r>
      </text>
    </comment>
    <comment ref="C20" authorId="0" shapeId="0" xr:uid="{00000000-0006-0000-0000-000008000000}">
      <text>
        <r>
          <rPr>
            <sz val="9"/>
            <color indexed="81"/>
            <rFont val="Tahoma"/>
            <family val="2"/>
          </rPr>
          <t>Money you receive to support 
your child financially after a 
separation or a divorce.</t>
        </r>
      </text>
    </comment>
    <comment ref="C21" authorId="1" shapeId="0" xr:uid="{00000000-0006-0000-0000-000009000000}">
      <text>
        <r>
          <rPr>
            <sz val="9"/>
            <color indexed="81"/>
            <rFont val="Tahoma"/>
            <family val="2"/>
          </rPr>
          <t>Tax-free monthly payment made 
to eligible families to help them 
with the cost of raising children 
under 18 years old.</t>
        </r>
      </text>
    </comment>
    <comment ref="C22" authorId="1" shapeId="0" xr:uid="{00000000-0006-0000-0000-00000A000000}">
      <text>
        <r>
          <rPr>
            <sz val="9"/>
            <color indexed="81"/>
            <rFont val="Tahoma"/>
            <family val="2"/>
          </rPr>
          <t>Income that may be provided to people 
who have contributed to the Canada 
Pension Plan (CPP) and who are not able 
to work regularly because of a disability.</t>
        </r>
      </text>
    </comment>
    <comment ref="C23" authorId="1" shapeId="0" xr:uid="{00000000-0006-0000-0000-00000B000000}">
      <text>
        <r>
          <rPr>
            <sz val="9"/>
            <color indexed="81"/>
            <rFont val="Tahoma"/>
            <family val="2"/>
          </rPr>
          <t>Income that may be provided 
to low-income individuals that 
are in financial need.</t>
        </r>
      </text>
    </comment>
    <comment ref="G36" authorId="1" shapeId="0" xr:uid="{00000000-0006-0000-0000-00000C000000}">
      <text>
        <r>
          <rPr>
            <sz val="9"/>
            <color indexed="81"/>
            <rFont val="Tahoma"/>
            <family val="2"/>
          </rPr>
          <t>Note: the suggested ranges are based on Average 
Canadian data and are to be used as guidelines only. 
These guidelines are not applicable to all personal 
situations.</t>
        </r>
      </text>
    </comment>
    <comment ref="C38" authorId="1" shapeId="0" xr:uid="{00000000-0006-0000-0000-00000D000000}">
      <text>
        <r>
          <rPr>
            <sz val="9"/>
            <color indexed="81"/>
            <rFont val="Tahoma"/>
            <family val="2"/>
          </rPr>
          <t>Money you set aside to pay for unexpected 
expenses. Ideally, the fund should be enough 
for you to live on for 3–6 months.</t>
        </r>
      </text>
    </comment>
    <comment ref="F58" authorId="1" shapeId="0" xr:uid="{00000000-0006-0000-0000-00000E000000}">
      <text>
        <r>
          <rPr>
            <sz val="9"/>
            <color indexed="81"/>
            <rFont val="Tahoma"/>
            <family val="2"/>
          </rPr>
          <t>Note: the suggested ranges are based on Average 
Canadian data and are to be used as guidelines only. 
These guidelines are not applicable to all personal 
situations.</t>
        </r>
      </text>
    </comment>
    <comment ref="C60" authorId="1" shapeId="0" xr:uid="{00000000-0006-0000-0000-00000F000000}">
      <text>
        <r>
          <rPr>
            <sz val="9"/>
            <color indexed="81"/>
            <rFont val="Tahoma"/>
            <family val="2"/>
          </rPr>
          <t>Payments made toward the outstanding portion 
of your credit card bill. For example, a balance 
you've carried over from previous unpaid purchases. 
Make sure you don't duplicate these expenses in 
your budget.</t>
        </r>
      </text>
    </comment>
    <comment ref="C61" authorId="1" shapeId="0" xr:uid="{00000000-0006-0000-0000-000010000000}">
      <text>
        <r>
          <rPr>
            <sz val="9"/>
            <color indexed="81"/>
            <rFont val="Tahoma"/>
            <family val="2"/>
          </rPr>
          <t>Payments made toward the outstanding 
portion of your line of credit bill. For example, 
a balance you've carried over from previous 
unpaid expenses. Make sure you don't 
duplicate these expenses in your budget.</t>
        </r>
      </text>
    </comment>
    <comment ref="C62" authorId="1" shapeId="0" xr:uid="{00000000-0006-0000-0000-000011000000}">
      <text>
        <r>
          <rPr>
            <sz val="9"/>
            <color indexed="81"/>
            <rFont val="Tahoma"/>
            <family val="2"/>
          </rPr>
          <t>Regular payments made toward a personal 
loan, including retail financing such as buy 
now, pay later plans. Make sure you don't 
duplicate these expenses in your budget.</t>
        </r>
      </text>
    </comment>
    <comment ref="C63" authorId="1" shapeId="0" xr:uid="{00000000-0006-0000-0000-000012000000}">
      <text>
        <r>
          <rPr>
            <sz val="9"/>
            <color indexed="81"/>
            <rFont val="Tahoma"/>
            <family val="2"/>
          </rPr>
          <t>Regular payments made toward a 
student loan or a student line of credit.</t>
        </r>
      </text>
    </comment>
    <comment ref="F75" authorId="1" shapeId="0" xr:uid="{00000000-0006-0000-0000-000013000000}">
      <text>
        <r>
          <rPr>
            <sz val="9"/>
            <color indexed="81"/>
            <rFont val="Tahoma"/>
            <family val="2"/>
          </rPr>
          <t>Note: the suggested ranges are based on Average 
Canadian data and are to be used as guidelines only. 
These guidelines are not applicable to all personal 
situations.</t>
        </r>
      </text>
    </comment>
    <comment ref="C79" authorId="1" shapeId="0" xr:uid="{00000000-0006-0000-0000-000014000000}">
      <text>
        <r>
          <rPr>
            <sz val="9"/>
            <color indexed="81"/>
            <rFont val="Tahoma"/>
            <family val="2"/>
          </rPr>
          <t>Payments made toward the outstanding 
portion of your Home equity line of credit 
bill. For example, a balance you've carried 
over from previous unpaid expenses. Make 
sure you don't duplicate these expenses in 
your budget.</t>
        </r>
      </text>
    </comment>
    <comment ref="C85" authorId="1" shapeId="0" xr:uid="{00000000-0006-0000-0000-000015000000}">
      <text>
        <r>
          <rPr>
            <sz val="9"/>
            <color indexed="81"/>
            <rFont val="Tahoma"/>
            <family val="2"/>
          </rPr>
          <t>Costs for outdoor maintenance of your 
home, such as snow removal, garden, etc.</t>
        </r>
      </text>
    </comment>
    <comment ref="C89" authorId="1" shapeId="0" xr:uid="{00000000-0006-0000-0000-000016000000}">
      <text>
        <r>
          <rPr>
            <sz val="9"/>
            <color indexed="81"/>
            <rFont val="Tahoma"/>
            <family val="2"/>
          </rPr>
          <t>Heating bill and any costs for equipment 
rental such a furnace or a water heater.</t>
        </r>
      </text>
    </comment>
    <comment ref="F101" authorId="1" shapeId="0" xr:uid="{00000000-0006-0000-0000-000017000000}">
      <text>
        <r>
          <rPr>
            <sz val="9"/>
            <color indexed="81"/>
            <rFont val="Tahoma"/>
            <family val="2"/>
          </rPr>
          <t>Note: the suggested ranges are based on Average 
Canadian data and are to be used as guidelines only. 
These guidelines are not applicable to all personal 
situations.</t>
        </r>
      </text>
    </comment>
    <comment ref="C106" authorId="1" shapeId="0" xr:uid="{00000000-0006-0000-0000-000018000000}">
      <text>
        <r>
          <rPr>
            <sz val="9"/>
            <color indexed="81"/>
            <rFont val="Tahoma"/>
            <family val="2"/>
          </rPr>
          <t>Offered by service providers that can include 
services such as your telephone, Internet, 
cable, etc., for a set price.</t>
        </r>
      </text>
    </comment>
    <comment ref="C107" authorId="1" shapeId="0" xr:uid="{00000000-0006-0000-0000-000019000000}">
      <text>
        <r>
          <rPr>
            <sz val="9"/>
            <color indexed="81"/>
            <rFont val="Tahoma"/>
            <family val="2"/>
          </rPr>
          <t>Online subscriptions and streaming 
services.</t>
        </r>
      </text>
    </comment>
    <comment ref="F119" authorId="1" shapeId="0" xr:uid="{00000000-0006-0000-0000-00001A000000}">
      <text>
        <r>
          <rPr>
            <sz val="9"/>
            <color indexed="81"/>
            <rFont val="Tahoma"/>
            <family val="2"/>
          </rPr>
          <t>Note: the suggested ranges are based on Average 
Canadian data and are to be used as guidelines only. 
These guidelines are not applicable to all personal 
situations.</t>
        </r>
      </text>
    </comment>
    <comment ref="C121" authorId="1" shapeId="0" xr:uid="{00000000-0006-0000-0000-00001B000000}">
      <text>
        <r>
          <rPr>
            <sz val="9"/>
            <color indexed="81"/>
            <rFont val="Tahoma"/>
            <family val="2"/>
          </rPr>
          <t>Grocery bill and any meal kit 
subscription.</t>
        </r>
      </text>
    </comment>
    <comment ref="C122" authorId="1" shapeId="0" xr:uid="{00000000-0006-0000-0000-00001C000000}">
      <text>
        <r>
          <rPr>
            <sz val="9"/>
            <color indexed="81"/>
            <rFont val="Tahoma"/>
            <family val="2"/>
          </rPr>
          <t>Restaurant and take-out expenses 
also include small purchases like 
coffee, tea and snacks.</t>
        </r>
      </text>
    </comment>
    <comment ref="F134" authorId="1" shapeId="0" xr:uid="{00000000-0006-0000-0000-00001D000000}">
      <text>
        <r>
          <rPr>
            <sz val="9"/>
            <color indexed="81"/>
            <rFont val="Tahoma"/>
            <family val="2"/>
          </rPr>
          <t>Note: the suggested ranges are based on Average 
Canadian data and are to be used as guidelines only. 
These guidelines are not applicable to all personal 
situations.</t>
        </r>
      </text>
    </comment>
    <comment ref="F150" authorId="1" shapeId="0" xr:uid="{00000000-0006-0000-0000-00001E000000}">
      <text>
        <r>
          <rPr>
            <sz val="9"/>
            <color indexed="81"/>
            <rFont val="Tahoma"/>
            <family val="2"/>
          </rPr>
          <t>Note: the suggested ranges are based on Average 
Canadian data and are to be used as guidelines only. 
These guidelines are not applicable to all personal 
situations.</t>
        </r>
      </text>
    </comment>
    <comment ref="C155" authorId="1" shapeId="0" xr:uid="{00000000-0006-0000-0000-00001F000000}">
      <text>
        <r>
          <rPr>
            <sz val="9"/>
            <color indexed="81"/>
            <rFont val="Tahoma"/>
            <family val="2"/>
          </rPr>
          <t>Regular maintenance services like 
seasonal check-ups, changing tires 
and oil, etc.</t>
        </r>
      </text>
    </comment>
    <comment ref="C159" authorId="1" shapeId="0" xr:uid="{00000000-0006-0000-0000-000020000000}">
      <text>
        <r>
          <rPr>
            <sz val="9"/>
            <color indexed="81"/>
            <rFont val="Tahoma"/>
            <family val="2"/>
          </rPr>
          <t>Costs for taxi fares or other 
transportation services.</t>
        </r>
      </text>
    </comment>
    <comment ref="F171" authorId="1" shapeId="0" xr:uid="{00000000-0006-0000-0000-000021000000}">
      <text>
        <r>
          <rPr>
            <sz val="9"/>
            <color indexed="81"/>
            <rFont val="Tahoma"/>
            <family val="2"/>
          </rPr>
          <t>Note: the suggested ranges are based on Average 
Canadian data and are to be used as guidelines only. 
These guidelines are not applicable to all personal 
situations.</t>
        </r>
      </text>
    </comment>
    <comment ref="C175" authorId="1" shapeId="0" xr:uid="{00000000-0006-0000-0000-000022000000}">
      <text>
        <r>
          <rPr>
            <sz val="9"/>
            <color indexed="81"/>
            <rFont val="Tahoma"/>
            <family val="2"/>
          </rPr>
          <t>Payment you make to support 
your child financially after a 
separation or a divorce.</t>
        </r>
      </text>
    </comment>
    <comment ref="C176" authorId="1" shapeId="0" xr:uid="{00000000-0006-0000-0000-000023000000}">
      <text>
        <r>
          <rPr>
            <sz val="9"/>
            <color indexed="81"/>
            <rFont val="Tahoma"/>
            <family val="2"/>
          </rPr>
          <t>Pocket money you may decide to 
give to your child for small expenses 
or savings.</t>
        </r>
      </text>
    </comment>
    <comment ref="F188" authorId="1" shapeId="0" xr:uid="{00000000-0006-0000-0000-000024000000}">
      <text>
        <r>
          <rPr>
            <sz val="9"/>
            <color indexed="81"/>
            <rFont val="Tahoma"/>
            <family val="2"/>
          </rPr>
          <t>Note: the suggested ranges are based on Average 
Canadian data and are to be used as guidelines only. 
These guidelines are not applicable to all personal 
situations.</t>
        </r>
      </text>
    </comment>
    <comment ref="F204" authorId="1" shapeId="0" xr:uid="{00000000-0006-0000-0000-000025000000}">
      <text>
        <r>
          <rPr>
            <sz val="9"/>
            <color indexed="81"/>
            <rFont val="Tahoma"/>
            <family val="2"/>
          </rPr>
          <t>Note: the suggested ranges are based on Average 
Canadian data and are to be used as guidelines only. 
These guidelines are not applicable to all personal 
situations.</t>
        </r>
      </text>
    </comment>
    <comment ref="C206" authorId="1" shapeId="0" xr:uid="{00000000-0006-0000-0000-000026000000}">
      <text>
        <r>
          <rPr>
            <sz val="9"/>
            <color indexed="81"/>
            <rFont val="Tahoma"/>
            <family val="2"/>
          </rPr>
          <t>Flights, hotels, motels and other 
expenses related to travelling or 
being away on vacation.</t>
        </r>
      </text>
    </comment>
    <comment ref="C207" authorId="1" shapeId="0" xr:uid="{00000000-0006-0000-0000-000027000000}">
      <text>
        <r>
          <rPr>
            <sz val="9"/>
            <color indexed="81"/>
            <rFont val="Tahoma"/>
            <family val="2"/>
          </rPr>
          <t>Costs to use the services of a gym, 
swimming pool, sports centre, etc.</t>
        </r>
      </text>
    </comment>
    <comment ref="C209" authorId="1" shapeId="0" xr:uid="{00000000-0006-0000-0000-000028000000}">
      <text>
        <r>
          <rPr>
            <sz val="9"/>
            <color indexed="81"/>
            <rFont val="Tahoma"/>
            <family val="2"/>
          </rPr>
          <t>Tickets for sports events, 
plays, concerts, etc.</t>
        </r>
      </text>
    </comment>
    <comment ref="C210" authorId="1" shapeId="0" xr:uid="{00000000-0006-0000-0000-000029000000}">
      <text>
        <r>
          <rPr>
            <sz val="9"/>
            <color indexed="81"/>
            <rFont val="Tahoma"/>
            <family val="2"/>
          </rPr>
          <t>Costs associated with activities, 
such as skiing, camping, hockey, 
tennis, etc.</t>
        </r>
      </text>
    </comment>
    <comment ref="C211" authorId="1" shapeId="0" xr:uid="{00000000-0006-0000-0000-00002A000000}">
      <text>
        <r>
          <rPr>
            <sz val="9"/>
            <color indexed="81"/>
            <rFont val="Tahoma"/>
            <family val="2"/>
          </rPr>
          <t>Costs for computer and home 
entertainment equipment, audio 
systems, game consoles, etc.</t>
        </r>
      </text>
    </comment>
    <comment ref="C213" authorId="1" shapeId="0" xr:uid="{00000000-0006-0000-0000-00002B000000}">
      <text>
        <r>
          <rPr>
            <sz val="9"/>
            <color indexed="81"/>
            <rFont val="Tahoma"/>
            <family val="2"/>
          </rPr>
          <t>Costs for cigarettes, electronic cigarettes 
and any supplies related to these items.</t>
        </r>
      </text>
    </comment>
    <comment ref="F225" authorId="1" shapeId="0" xr:uid="{00000000-0006-0000-0000-00002C000000}">
      <text>
        <r>
          <rPr>
            <sz val="9"/>
            <color indexed="81"/>
            <rFont val="Tahoma"/>
            <family val="2"/>
          </rPr>
          <t>Note: the suggested ranges are based on Average 
Canadian data and are to be used as guidelines only. 
These guidelines are not applicable to all personal 
situations.</t>
        </r>
      </text>
    </comment>
    <comment ref="F241" authorId="1" shapeId="0" xr:uid="{00000000-0006-0000-0000-00002D000000}">
      <text>
        <r>
          <rPr>
            <sz val="9"/>
            <color indexed="81"/>
            <rFont val="Tahoma"/>
            <family val="2"/>
          </rPr>
          <t>Note: the suggested ranges are based on Average 
Canadian data and are to be used as guidelines only. 
These guidelines are not applicable to all personal 
situations.</t>
        </r>
      </text>
    </comment>
    <comment ref="F257" authorId="1" shapeId="0" xr:uid="{00000000-0006-0000-0000-00002E000000}">
      <text>
        <r>
          <rPr>
            <sz val="9"/>
            <color indexed="81"/>
            <rFont val="Tahoma"/>
            <family val="2"/>
          </rPr>
          <t>Note: the suggested ranges are based on Average 
Canadian data and are to be used as guidelines only. 
These guidelines are not applicable to all personal 
situations.</t>
        </r>
      </text>
    </comment>
    <comment ref="C261" authorId="1" shapeId="0" xr:uid="{00000000-0006-0000-0000-00002F000000}">
      <text>
        <r>
          <rPr>
            <sz val="9"/>
            <color indexed="81"/>
            <rFont val="Tahoma"/>
            <family val="2"/>
          </rPr>
          <t>Specialists include chiropractors, 
physiotherapists, psychologists, 
optometrists, etc.</t>
        </r>
      </text>
    </comment>
    <comment ref="F273" authorId="1" shapeId="0" xr:uid="{00000000-0006-0000-0000-000030000000}">
      <text>
        <r>
          <rPr>
            <sz val="9"/>
            <color indexed="81"/>
            <rFont val="Tahoma"/>
            <family val="2"/>
          </rPr>
          <t>Note: the suggested ranges are based on Average 
Canadian data and are to be used as guidelines only. 
These guidelines are not applicable to all personal 
situations.</t>
        </r>
      </text>
    </comment>
    <comment ref="F288" authorId="1" shapeId="0" xr:uid="{00000000-0006-0000-0000-000031000000}">
      <text>
        <r>
          <rPr>
            <sz val="9"/>
            <color indexed="81"/>
            <rFont val="Tahoma"/>
            <family val="2"/>
          </rPr>
          <t>Note: the suggested ranges are based on Average 
Canadian data and are to be used as guidelines only. 
These guidelines are not applicable to all personal 
situations.</t>
        </r>
      </text>
    </comment>
    <comment ref="C290" authorId="1" shapeId="0" xr:uid="{00000000-0006-0000-0000-000032000000}">
      <text>
        <r>
          <rPr>
            <sz val="9"/>
            <color indexed="81"/>
            <rFont val="Tahoma"/>
            <family val="2"/>
          </rPr>
          <t>Costs you pay for your transactions, 
your monthly package, brokerage 
fees, etc.</t>
        </r>
      </text>
    </comment>
    <comment ref="C291" authorId="1" shapeId="0" xr:uid="{00000000-0006-0000-0000-000033000000}">
      <text>
        <r>
          <rPr>
            <sz val="9"/>
            <color indexed="81"/>
            <rFont val="Tahoma"/>
            <family val="2"/>
          </rPr>
          <t>Annual fees, balance insurance fees or 
any recurring fees you may have to pay 
for a certain service on your credit card.</t>
        </r>
      </text>
    </comment>
    <comment ref="C292" authorId="1" shapeId="0" xr:uid="{00000000-0006-0000-0000-000034000000}">
      <text>
        <r>
          <rPr>
            <sz val="9"/>
            <color indexed="81"/>
            <rFont val="Tahoma"/>
            <family val="2"/>
          </rPr>
          <t>Dues that are usually related to your 
employment including dues for membership 
in a trade union or a professional association.</t>
        </r>
      </text>
    </comment>
    <comment ref="F304" authorId="1" shapeId="0" xr:uid="{00000000-0006-0000-0000-000035000000}">
      <text>
        <r>
          <rPr>
            <sz val="9"/>
            <color indexed="81"/>
            <rFont val="Tahoma"/>
            <family val="2"/>
          </rPr>
          <t>Note: the suggested ranges are based on Average 
Canadian data and are to be used as guidelines only. 
These guidelines are not applicable to all personal 
situations.</t>
        </r>
      </text>
    </comment>
    <comment ref="C306" authorId="1" shapeId="0" xr:uid="{00000000-0006-0000-0000-000036000000}">
      <text>
        <r>
          <rPr>
            <sz val="9"/>
            <color indexed="81"/>
            <rFont val="Tahoma"/>
            <family val="2"/>
          </rPr>
          <t xml:space="preserve">Gifts for the holidays, birthdays, weddings 
and any other special occasions. </t>
        </r>
      </text>
    </comment>
    <comment ref="C307" authorId="1" shapeId="0" xr:uid="{00000000-0006-0000-0000-000037000000}">
      <text>
        <r>
          <rPr>
            <sz val="9"/>
            <color indexed="81"/>
            <rFont val="Tahoma"/>
            <family val="2"/>
          </rPr>
          <t>Money that you give to charities 
and organizations that need funds.</t>
        </r>
      </text>
    </comment>
  </commentList>
</comments>
</file>

<file path=xl/sharedStrings.xml><?xml version="1.0" encoding="utf-8"?>
<sst xmlns="http://schemas.openxmlformats.org/spreadsheetml/2006/main" count="1208" uniqueCount="481">
  <si>
    <t>Category</t>
  </si>
  <si>
    <t>Amount</t>
  </si>
  <si>
    <t>Amount + Percent</t>
  </si>
  <si>
    <t>Pie Chart Labels</t>
  </si>
  <si>
    <t>Comparison Amount</t>
  </si>
  <si>
    <t>Avg Percentage</t>
  </si>
  <si>
    <t>Avg Amount</t>
  </si>
  <si>
    <t>Comparison Labels</t>
  </si>
  <si>
    <t>Avg Amount + Avg Percent</t>
  </si>
  <si>
    <t>Series 1</t>
  </si>
  <si>
    <t>Series 2</t>
  </si>
  <si>
    <t>Series 3</t>
  </si>
  <si>
    <t>Label 1</t>
  </si>
  <si>
    <t>Label 2</t>
  </si>
  <si>
    <t>Label 3</t>
  </si>
  <si>
    <t>Incoming</t>
  </si>
  <si>
    <t>Outgoing</t>
  </si>
  <si>
    <t>Expenses Label</t>
  </si>
  <si>
    <t>Suggestions</t>
  </si>
  <si>
    <t>Useful Links</t>
  </si>
  <si>
    <t>CodeValue</t>
  </si>
  <si>
    <t>Condition</t>
  </si>
  <si>
    <t>Annual Amount</t>
  </si>
  <si>
    <t>Percent of Income</t>
  </si>
  <si>
    <t>Is Visible Formula</t>
  </si>
  <si>
    <t>Visible Order</t>
  </si>
  <si>
    <t>English Text</t>
  </si>
  <si>
    <t>Topic</t>
  </si>
  <si>
    <t>English URL</t>
  </si>
  <si>
    <t>Category Value</t>
  </si>
  <si>
    <t>IF(Income = 0)</t>
  </si>
  <si>
    <t>Enter your income in order to view your suggestions</t>
  </si>
  <si>
    <t>Info</t>
  </si>
  <si>
    <t>General</t>
  </si>
  <si>
    <t>IF(Balance&lt;0)</t>
  </si>
  <si>
    <t>As you currently have more money going out than coming in, click on the Financial Goal Calculator in the useful links. It could really help you pay down your debt. The process is quick and simple and the tool provides you with a debt payment plan.</t>
  </si>
  <si>
    <t>Financial Goal Calculator</t>
  </si>
  <si>
    <t>https://itools-ioutils.fcac-acfc.gc.ca/FGC-COF/home-accueil-eng.aspx</t>
  </si>
  <si>
    <t xml:space="preserve">You will also be interested in our page Making a plan to be debt-free in the useful links. It offers a step-by-step process of paying back your debt. </t>
  </si>
  <si>
    <t xml:space="preserve">Making a plan to be debt-free </t>
  </si>
  <si>
    <t>https://www.canada.ca/en/financial-consumer-agency/services/debt/plan-debt-free.html</t>
  </si>
  <si>
    <t>If you feel like you need professional help to pay down your debt, you may wish to consult an accredited credit counsellor or a financial professional in your area. To learn where to find help, click on Getting help from a credit counsellor in the useful links.</t>
  </si>
  <si>
    <t>Getting help from a credit counsellor</t>
  </si>
  <si>
    <t>https://www.canada.ca/en/financial-consumer-agency/services/debt/debt-help.html</t>
  </si>
  <si>
    <t>The Office of the Superintendent of Bankruptcy Canada has developed a portal to help you find the best way to deal with your debt according to your situation. For more information, click on  Options you can trust to help you with your debt in the useful links.</t>
  </si>
  <si>
    <t>Options you can trust to help you with your debt</t>
  </si>
  <si>
    <t>https://www.ic.gc.ca/eic/site/bsf-osb.nsf/eng/br02049.html</t>
  </si>
  <si>
    <t>IF(Balance&gt;0)</t>
  </si>
  <si>
    <t>As you currently have money left in your budget, you could put that money toward a savings goal. In order to set and reach your savings goals, click on the Financial Goal Calculator in the useful links. The process is quick and simple and the tool provides you with a savings plan.</t>
  </si>
  <si>
    <t>IF(Balance=0)</t>
  </si>
  <si>
    <t>Your budget is currently balanced. In order to stay on track, come back regularly to update your budget based on any life changes.</t>
  </si>
  <si>
    <t>Savings</t>
  </si>
  <si>
    <t>EmergencyFund</t>
  </si>
  <si>
    <t>If(EmergencyFund &lt;= 1%)</t>
  </si>
  <si>
    <t>You should have an emergency fund so you can pay for unexpected expenses. Learn how to set up an emergency fund by clicking on this topic in the useful links.</t>
  </si>
  <si>
    <t>Emergency fund</t>
  </si>
  <si>
    <t>https://www.canada.ca/en/financial-consumer-agency/services/savings-investments/setting-up-emergency-funds.html</t>
  </si>
  <si>
    <t>Retirement</t>
  </si>
  <si>
    <t>IF(!HasPersonalization || Part-Time || Full-Time || Self-Employed || Other)</t>
  </si>
  <si>
    <t>A comfortable retirement requires saving and planning. It’s never too early or too late to start. Click on Retirement planning in the useful links to learn all about it. You’ll find information on the different types of retirement income and how much you’ll need to save.</t>
  </si>
  <si>
    <t>Retirement planning</t>
  </si>
  <si>
    <t>https://www.canada.ca/en/financial-consumer-agency/services/retirement-planning.html</t>
  </si>
  <si>
    <t>Education</t>
  </si>
  <si>
    <t>IF(SingleKids || CoupleKids)</t>
  </si>
  <si>
    <t>Your children’s future and success are important. See how you can help them reach their full potential by clicking on Education funding in the useful links.</t>
  </si>
  <si>
    <t>Education funding</t>
  </si>
  <si>
    <t>https://www.canada.ca/en/services/finance/educationfunding.html</t>
  </si>
  <si>
    <t>Since you are a parent, you know how important it is to teach your kids how to manage their money. If you start early, you can build on their knowledge as they grow. Click on Teaching your children about money in the useful links to learn all about it.</t>
  </si>
  <si>
    <t>Teaching your children about money</t>
  </si>
  <si>
    <t>https://www.canada.ca/en/financial-consumer-agency/services/teaching-children-money.html</t>
  </si>
  <si>
    <t>HomePurchase</t>
  </si>
  <si>
    <t>IF((!HasPersonalization || HomeOwner || Renting || HomeOther) &amp;&amp; HomePurchase &gt; 0)</t>
  </si>
  <si>
    <t>Since you are planning to buy a house in the future, click on Buying a home in the useful links. It provides information on saving for a home, tax credits, related costs, working with a real estate agent and more.</t>
  </si>
  <si>
    <t>Buying a home</t>
  </si>
  <si>
    <t>https://www.canada.ca/en/financial-consumer-agency/services/buying-home.html</t>
  </si>
  <si>
    <t>To find out if you can qualify for a mortgage based on the property you want, your income and your expenses, click on Mortgage Qualifier Tool in the useful links.</t>
  </si>
  <si>
    <t>Mortgage Qualifier Tool</t>
  </si>
  <si>
    <t>http://itools-ioutils.fcac-acfc.gc.ca/MQ-HQ/MQ-EAPH-eng.aspx</t>
  </si>
  <si>
    <t>HomeRenovation</t>
  </si>
  <si>
    <t>IF((!HasPersonalization || HomeOwner || HomeOther) &amp;&amp; HomeRenovation &gt; 0)</t>
  </si>
  <si>
    <t>Great—you’re saving money for home renovations! You’ll be interested to know that the Government of Canada offers programs and services that help with the renovation of your home. Click on Maintaining a home in the useful links to learn all about it.</t>
  </si>
  <si>
    <t>Maintaining a home</t>
  </si>
  <si>
    <t>https://www.canada.ca/en/financial-consumer-agency/services/maintaining-home.html</t>
  </si>
  <si>
    <t>CarPurchase</t>
  </si>
  <si>
    <t>IF(CarPurchase &gt; 0)</t>
  </si>
  <si>
    <t>Since you plan to buy a vehicle, you’ll be interested in our section on car financing. It provides information on shopping around for a car, financing options, how you’re protected and making sure you can afford the payments over time. Click on Financing a car in the useful links to learn all about it.</t>
  </si>
  <si>
    <t>Financing a car</t>
  </si>
  <si>
    <t>https://www.canada.ca/en/financial-consumer-agency/services/loans/financing-car.html</t>
  </si>
  <si>
    <t>Debt</t>
  </si>
  <si>
    <t>CreditCard</t>
  </si>
  <si>
    <t>IF(CreditCard &gt;0)</t>
  </si>
  <si>
    <t xml:space="preserve">There are many ways you can bring down your credit card balance and avoid overspending. Click on Using your credit card responsibly in the useful links to learn all about it. </t>
  </si>
  <si>
    <t>Using your credit card responsibly</t>
  </si>
  <si>
    <t>https://www.canada.ca/en/financial-consumer-agency/services/credit-cards/use-credit-responsibly.html</t>
  </si>
  <si>
    <t>LineOfCredit</t>
  </si>
  <si>
    <t>IF(LineOfCredit &gt;0)</t>
  </si>
  <si>
    <t>Lines of credit can be risky products for some people. However, when used responsibly, they can benefit consumers through convenient access to funds and flexible repayment terms. Click on Lines of credit in the useful links to learn more.</t>
  </si>
  <si>
    <t>Lines of credit</t>
  </si>
  <si>
    <t>https://www.canada.ca/en/financial-consumer-agency/services/loans/loans-lines-credit.html</t>
  </si>
  <si>
    <t>PersonalLoan</t>
  </si>
  <si>
    <t>IF(PersonalLoan &gt;0)</t>
  </si>
  <si>
    <t>There are many types of personal loans such as secured, unsecured, buy now, pay later plans, payday loans, etc. Make sure you understand their characteristics and how they work in order to have the right loan for your needs. Click on Loans in the useful links for more information.</t>
  </si>
  <si>
    <t>Loans</t>
  </si>
  <si>
    <t>https://www.canada.ca/en/financial-consumer-agency/services/loans.html</t>
  </si>
  <si>
    <t>StudentLoan</t>
  </si>
  <si>
    <t>IF((!HasPersonalization || PartTime || FullTime || SelfEmployed || ProfessionalOther) &amp;&amp; StudentLoan &gt; 0)</t>
  </si>
  <si>
    <t>Since you currently have a student loan balance, click on Paying back student debt in the useful links to learn all about it.</t>
  </si>
  <si>
    <t>Paying back student debt</t>
  </si>
  <si>
    <t>https://www.canada.ca/en/financial-consumer-agency/services/pay-down-student-debt.html</t>
  </si>
  <si>
    <t>Housing</t>
  </si>
  <si>
    <t>Mortgage</t>
  </si>
  <si>
    <t>IF((!HasPersonalization || HomeOwner || HomeOther || SaverMoreMoney || ReduceDebt) &amp;&amp; Mortgage &gt;0)</t>
  </si>
  <si>
    <t>Did you know that there are three ways to pay your mortgage faster? You can:
-Put extra money toward your mortgage
-Keep the same monthly payments when you renew your mortgage
-Choose an “accelerated” option for your mortgage payments.
For more details, click on Paying off your mortgage faster in the useful links.</t>
  </si>
  <si>
    <t>Paying off your mortgage faster</t>
  </si>
  <si>
    <t>https://www.canada.ca/en/financial-consumer-agency/services/mortgages/pay-mortgage-faster.html</t>
  </si>
  <si>
    <t>IF((!HasPersonalization || HomeOwner || HomeOther) &amp;&amp; Mortgage &gt;0)</t>
  </si>
  <si>
    <t>Mortgage renewal is a very important time. You might be able to save money by negotiating with your bank or switching lenders. Click on Renewing your mortgage in the useful links to get prepared.</t>
  </si>
  <si>
    <t>Renewing your mortgage</t>
  </si>
  <si>
    <t>https://www.canada.ca/en/financial-consumer-agency/services/mortgages/renew-mortgage.html</t>
  </si>
  <si>
    <t>HELOC</t>
  </si>
  <si>
    <t>IF((!HasPersonalization || HomeOwner || HomeOther) &amp;&amp; HELOC &gt;0)</t>
  </si>
  <si>
    <t>HELOCs can be risky products for some people. However, when used responsibly, HELOCs can benefit consumers through low interest rates, convenient access to funds and flexible repayment terms. Learn all about home equity lines of credit by clicking on that topic in the useful links.</t>
  </si>
  <si>
    <t>Home equity line of credit</t>
  </si>
  <si>
    <t>https://www.canada.ca/en/financial-consumer-agency/services/mortgages/home-equity-line-credit.html</t>
  </si>
  <si>
    <t>TenantInsurance</t>
  </si>
  <si>
    <t>IF((!HasPersonalization || Renting || HomeOther) &amp;&amp; TenantInsurance &gt;0)</t>
  </si>
  <si>
    <t>Take the time to review your insurance policy and make sure you understand what it covers. Click on Home insurance in the useful links for more information.</t>
  </si>
  <si>
    <t>Home insurance</t>
  </si>
  <si>
    <t>https://www.canada.ca/en/financial-consumer-agency/services/insurance/home.html</t>
  </si>
  <si>
    <t>HomeInsurance</t>
  </si>
  <si>
    <t>IF((!HasPersonalization || HomeOwner || HomeOther) &amp;&amp; TenantInsurance &gt;0)</t>
  </si>
  <si>
    <t>Electricity</t>
  </si>
  <si>
    <t>IF((CutOnExpenses || ReduceDebt || CreateFirstBudget) &amp;&amp; Electricity &gt; 0)</t>
  </si>
  <si>
    <t>Check your energy company’s website for ideas about how you can be more energy conscious.</t>
  </si>
  <si>
    <t>WaterSewage</t>
  </si>
  <si>
    <t>IF((CutOnExpenses || ReduceDebt || CreateFirstBudget) &amp;&amp; WaterSewage &gt; 0)</t>
  </si>
  <si>
    <t xml:space="preserve">Contact your provider to find out what an average bill for your type of household might be. </t>
  </si>
  <si>
    <t>Heating</t>
  </si>
  <si>
    <t>IF((CutOnExpenses || ReduceDebt || CreateFirstBudget) &amp;&amp; Heating &gt; 0)</t>
  </si>
  <si>
    <t>Check your company’s website for ideas about how you can reduce your heating bill.</t>
  </si>
  <si>
    <t>Communications</t>
  </si>
  <si>
    <t>Telephone</t>
  </si>
  <si>
    <t>IF((CutOnExpenses || ReduceDebt || CreateFirstBudget) &amp;&amp; Telephone &gt; 0)</t>
  </si>
  <si>
    <t>Review your telephone plan to see if you can scale back or combine your communications services to get a discount.</t>
  </si>
  <si>
    <t>Cable</t>
  </si>
  <si>
    <t>IF((CutOnExpenses || ReduceDebt || CreateFirstBudget) &amp;&amp; Cable &gt; 0)</t>
  </si>
  <si>
    <t>See if you can find a cheaper cable package or consider scaling it back or combining your communications services to get a discount.</t>
  </si>
  <si>
    <t>Internet</t>
  </si>
  <si>
    <t>IF((CutOnExpenses || ReduceDebt || CreateFirstBudget) &amp;&amp; Internet &gt; 0)</t>
  </si>
  <si>
    <t>Review your internet usage and shop around to see if you can get a cheaper internet package that suits your needs. Consider combining your services to get a discount.</t>
  </si>
  <si>
    <t>Food</t>
  </si>
  <si>
    <t>Groceries</t>
  </si>
  <si>
    <t>IF((CutOnExpenses || ReduceDebt || CreateFirstBudget) &amp;&amp; Groceries &gt; 0)</t>
  </si>
  <si>
    <t>If you're looking to save on food expenses, review your grocery store receipts to see if you can cut down on unnecessary items. Plan your meals in advance with items on sale or for which you have coupons or cashback offers.</t>
  </si>
  <si>
    <t>Restaurants</t>
  </si>
  <si>
    <t>IF((CutOnExpenses || ReduceDebt || CreateFirstBudget) &amp;&amp; Restaurants &gt; 0)</t>
  </si>
  <si>
    <t>If you're looking to save on food expenses, plan your meals in advance to avoid costly options, like eating out or take-out. Try setting specific dates to eat out. Packing a lunch and making your coffee at home can also help to save a lot of money.</t>
  </si>
  <si>
    <t>Insurance</t>
  </si>
  <si>
    <t>Life</t>
  </si>
  <si>
    <t>IF(Life &gt;= 5%)</t>
  </si>
  <si>
    <t>Take the time to review your insurance needs, as you may be spending more than necessary. Click on Insurance in the useful links for more information.</t>
  </si>
  <si>
    <t>https://www.canada.ca/en/financial-consumer-agency/services/insurance.html</t>
  </si>
  <si>
    <t>Medical</t>
  </si>
  <si>
    <t>IF(Medical &gt;= 5%)</t>
  </si>
  <si>
    <t>Disability</t>
  </si>
  <si>
    <t>IF(Disability &gt;= 5%)</t>
  </si>
  <si>
    <t>Transportation</t>
  </si>
  <si>
    <t>CarPayments</t>
  </si>
  <si>
    <t>IF(CarPayments &gt; 0)</t>
  </si>
  <si>
    <t>Car loans are usually “open” loans, which means that you can pay it off completely or partially at any time. Increasing your monthly payment could save you interest charges and time. If you wish to shorten your loan term, contact your loan provider to discuss your payment options.</t>
  </si>
  <si>
    <t>Transporation</t>
  </si>
  <si>
    <t>CarInsurance</t>
  </si>
  <si>
    <t>IF(CarInsurances &gt; 0)</t>
  </si>
  <si>
    <t>Take the time to review your car insurance policy and make sure you understand what it covers. Click on Car insurance in the useful links for more information.</t>
  </si>
  <si>
    <t>Car insurance</t>
  </si>
  <si>
    <t>https://www.canada.ca/en/financial-consumer-agency/services/insurance/car.html</t>
  </si>
  <si>
    <t>Tuition</t>
  </si>
  <si>
    <t>If(Tuition &gt; 0)</t>
  </si>
  <si>
    <t>If you or someone in your household is a student, learn more about scholarships, paying for education and RESPs by clicking on Education funding in the useful links.</t>
  </si>
  <si>
    <t>Recreation</t>
  </si>
  <si>
    <t>Memberships</t>
  </si>
  <si>
    <t>If((!HasPersonalization || CutExpenses || SaveMoney || ReduceDebt || CreateBudget) &amp;&amp; Memberships &gt; 0)</t>
  </si>
  <si>
    <t>If you’re really looking to save, think about some free ways you can get your heart pumping instead of paying fees for a gym membership.</t>
  </si>
  <si>
    <t>Clothing</t>
  </si>
  <si>
    <t>Clothes</t>
  </si>
  <si>
    <t>IF((!HasPersonalization || CutExpenses || ReduceDebt || CreateBudget) &amp;&amp; Clothes &gt;= 5%)</t>
  </si>
  <si>
    <t>When you go out shopping, try this: for each item you place in your shopping cart, ask yourself if this purchase is a need or a desire. This question will help you reduce your next bill. Be patient and do your research to take advantage of sales and the best deals.</t>
  </si>
  <si>
    <t>Fees</t>
  </si>
  <si>
    <t>BankFees</t>
  </si>
  <si>
    <t>IF(BankFees &gt; 15$ monthly)</t>
  </si>
  <si>
    <t>Speak with your financial institution to see if you have the best account or package for your account usage at the lowest cost. To compare different account fees and features click on Account Comparison Tool in the useful links.</t>
  </si>
  <si>
    <t>Account Comparison Tool</t>
  </si>
  <si>
    <t>https://itools-ioutils.fcac-acfc.gc.ca/ACT-OCC/SearchFilter-eng.aspx</t>
  </si>
  <si>
    <t>CreditCardFees</t>
  </si>
  <si>
    <t>IF(CreditCardFees &gt; 0)</t>
  </si>
  <si>
    <t>Speak with your financial institution to see if you have the best card that suits your needs at the lowest cost. To compare interest rates, annual fees, rewards and other features click on Credit Card Comparison Tool in the useful links.</t>
  </si>
  <si>
    <t>Credit Card Comparison Tool</t>
  </si>
  <si>
    <t>https://itools-ioutils.fcac-acfc.gc.ca/CCCT-OCCC/SearchFilter-eng.aspx</t>
  </si>
  <si>
    <t>Has Personalization</t>
  </si>
  <si>
    <t>True</t>
  </si>
  <si>
    <t>Budget Planner</t>
  </si>
  <si>
    <t>To edit your budget personalization, use the online Budget Planner at</t>
  </si>
  <si>
    <t>To personalize your budget, use the online Budget Planner at</t>
  </si>
  <si>
    <t>Annual Income Total</t>
  </si>
  <si>
    <t>Life Situation:</t>
  </si>
  <si>
    <t>Couple</t>
  </si>
  <si>
    <t>Age range:</t>
  </si>
  <si>
    <t>25 to 34</t>
  </si>
  <si>
    <t>Employment Status:</t>
  </si>
  <si>
    <t>Full-time</t>
  </si>
  <si>
    <t>Home Situation:</t>
  </si>
  <si>
    <t>Homeowner</t>
  </si>
  <si>
    <t>Budget Goal:</t>
  </si>
  <si>
    <t>Save more money</t>
  </si>
  <si>
    <t>Period for Totals:</t>
  </si>
  <si>
    <t>Monthly</t>
  </si>
  <si>
    <t>Total Income:</t>
  </si>
  <si>
    <t>Total Savings:</t>
  </si>
  <si>
    <t>Total Expenses:</t>
  </si>
  <si>
    <t>Total Balance:</t>
  </si>
  <si>
    <t>You have money left.</t>
  </si>
  <si>
    <t>Income</t>
  </si>
  <si>
    <t xml:space="preserve">Your budget is balanced. </t>
  </si>
  <si>
    <t>Code Value</t>
  </si>
  <si>
    <t>Annual Total</t>
  </si>
  <si>
    <t>Item</t>
  </si>
  <si>
    <t>Period</t>
  </si>
  <si>
    <t>Note: Percentages in these charts are based on income and have been rounded up to the nearest whole value.</t>
  </si>
  <si>
    <t>You spend more than you earn.</t>
  </si>
  <si>
    <t>MyNetIncome</t>
  </si>
  <si>
    <t>My net income</t>
  </si>
  <si>
    <t>Every 2 weeks</t>
  </si>
  <si>
    <t>Enter your income in order to view your graphics.</t>
  </si>
  <si>
    <t>SpouseNetIncome</t>
  </si>
  <si>
    <t xml:space="preserve">My spouse / partner's net income </t>
  </si>
  <si>
    <t>EmploymentInsurance</t>
  </si>
  <si>
    <t xml:space="preserve">Employment insurance </t>
  </si>
  <si>
    <t>RentalIncome</t>
  </si>
  <si>
    <t xml:space="preserve">Rental property income </t>
  </si>
  <si>
    <t>FederalPension</t>
  </si>
  <si>
    <t>Public pension</t>
  </si>
  <si>
    <t>EmployerPension</t>
  </si>
  <si>
    <t>Employer pension</t>
  </si>
  <si>
    <t>PersonalRetirement</t>
  </si>
  <si>
    <t>Personal retirement income</t>
  </si>
  <si>
    <t>StudentLoanIncome</t>
  </si>
  <si>
    <t>Education savings and loans</t>
  </si>
  <si>
    <t>ChildSupportIncome</t>
  </si>
  <si>
    <t xml:space="preserve">Child support income </t>
  </si>
  <si>
    <t>ChildBenefits</t>
  </si>
  <si>
    <t xml:space="preserve">Child benefits </t>
  </si>
  <si>
    <t>DisabilityBenefit</t>
  </si>
  <si>
    <t>Disability benefits</t>
  </si>
  <si>
    <t>SocialAssistance</t>
  </si>
  <si>
    <t xml:space="preserve">Social assistance </t>
  </si>
  <si>
    <t>Custom Rows</t>
  </si>
  <si>
    <t>Enter item name</t>
  </si>
  <si>
    <t>Type</t>
  </si>
  <si>
    <t>CASH</t>
  </si>
  <si>
    <t xml:space="preserve">Retirement </t>
  </si>
  <si>
    <t>RRSP</t>
  </si>
  <si>
    <t>RESP</t>
  </si>
  <si>
    <t>Home purchase</t>
  </si>
  <si>
    <t>Home renovations</t>
  </si>
  <si>
    <t>Car purchase</t>
  </si>
  <si>
    <t>Personalize your budget in order to compare your financial habits with your average Canadian.</t>
  </si>
  <si>
    <t>IncomeTax</t>
  </si>
  <si>
    <t xml:space="preserve">Income tax </t>
  </si>
  <si>
    <t>Annually</t>
  </si>
  <si>
    <t>The suggested average for each item below is based on Canadians in your situation (income range, age, family and housing situation).</t>
  </si>
  <si>
    <t>Expenses</t>
  </si>
  <si>
    <t>Debt repayment</t>
  </si>
  <si>
    <t>Credit card</t>
  </si>
  <si>
    <t xml:space="preserve">Line of credit </t>
  </si>
  <si>
    <t xml:space="preserve">Personal loan </t>
  </si>
  <si>
    <t xml:space="preserve">Student loan </t>
  </si>
  <si>
    <t>Rent</t>
  </si>
  <si>
    <t>Mortgage payment</t>
  </si>
  <si>
    <t>PropertyTax</t>
  </si>
  <si>
    <t xml:space="preserve">Property taxes </t>
  </si>
  <si>
    <t>CondoFee</t>
  </si>
  <si>
    <t>Condo fees</t>
  </si>
  <si>
    <t xml:space="preserve">Tenant insurance </t>
  </si>
  <si>
    <t xml:space="preserve">Home insurance </t>
  </si>
  <si>
    <t>Furniture</t>
  </si>
  <si>
    <t>Furniture and appliances</t>
  </si>
  <si>
    <t>OutdoorEquipment</t>
  </si>
  <si>
    <t>Outdoor equipment and services</t>
  </si>
  <si>
    <t>HomeSecurity</t>
  </si>
  <si>
    <t>Home security system</t>
  </si>
  <si>
    <t>Water and sewage</t>
  </si>
  <si>
    <t xml:space="preserve">Heating </t>
  </si>
  <si>
    <t>Telephone / Cell phone</t>
  </si>
  <si>
    <t xml:space="preserve">Cable or satellite </t>
  </si>
  <si>
    <t xml:space="preserve">Internet </t>
  </si>
  <si>
    <t>Combined</t>
  </si>
  <si>
    <t>Combined packages</t>
  </si>
  <si>
    <t>Subscriptions</t>
  </si>
  <si>
    <t>Entertainment subscriptions</t>
  </si>
  <si>
    <t xml:space="preserve">Groceries </t>
  </si>
  <si>
    <t>Weekly</t>
  </si>
  <si>
    <t xml:space="preserve">Restaurant and take-out </t>
  </si>
  <si>
    <t>Life insurance</t>
  </si>
  <si>
    <t>Medical and dental</t>
  </si>
  <si>
    <t>Disability or accident</t>
  </si>
  <si>
    <t xml:space="preserve">Car loan / lease payments </t>
  </si>
  <si>
    <t xml:space="preserve">Car insurance </t>
  </si>
  <si>
    <t>Gas</t>
  </si>
  <si>
    <t xml:space="preserve">Gas </t>
  </si>
  <si>
    <t>Maintenance</t>
  </si>
  <si>
    <t xml:space="preserve">Maintenance </t>
  </si>
  <si>
    <t>CarRegistration</t>
  </si>
  <si>
    <t xml:space="preserve">Car licensing and registration </t>
  </si>
  <si>
    <t>Parking</t>
  </si>
  <si>
    <t xml:space="preserve">Parking </t>
  </si>
  <si>
    <t>TransitPass</t>
  </si>
  <si>
    <t>Public transportation</t>
  </si>
  <si>
    <t>RideServices</t>
  </si>
  <si>
    <t>Ride services</t>
  </si>
  <si>
    <t>Childcare</t>
  </si>
  <si>
    <t>Daycare</t>
  </si>
  <si>
    <t xml:space="preserve">Daycare </t>
  </si>
  <si>
    <t>Babysitting</t>
  </si>
  <si>
    <t xml:space="preserve">Babysitting </t>
  </si>
  <si>
    <t>ChildSupport</t>
  </si>
  <si>
    <t xml:space="preserve">Child support payments </t>
  </si>
  <si>
    <t>ChildrensAllowance</t>
  </si>
  <si>
    <t xml:space="preserve">Children's allowance </t>
  </si>
  <si>
    <t>SchoolSupplies</t>
  </si>
  <si>
    <t>Textbooks and school supplies</t>
  </si>
  <si>
    <t>SchoolTrips</t>
  </si>
  <si>
    <t xml:space="preserve">School trips </t>
  </si>
  <si>
    <t>Travel</t>
  </si>
  <si>
    <t>Travel and vacation</t>
  </si>
  <si>
    <t>Club memberships</t>
  </si>
  <si>
    <t>ChildrenToys</t>
  </si>
  <si>
    <t xml:space="preserve">Children's toys and activities </t>
  </si>
  <si>
    <t>Tickets</t>
  </si>
  <si>
    <t>Tickets for events</t>
  </si>
  <si>
    <t>SportsGear</t>
  </si>
  <si>
    <t>Sports gear and other activities</t>
  </si>
  <si>
    <t>EntertainmentEquipment</t>
  </si>
  <si>
    <t xml:space="preserve">Entertainment equipment </t>
  </si>
  <si>
    <t>Alcohol</t>
  </si>
  <si>
    <t>Smoking</t>
  </si>
  <si>
    <t>Smoking supplies</t>
  </si>
  <si>
    <t>Personal Care</t>
  </si>
  <si>
    <t>Hairdresser</t>
  </si>
  <si>
    <t>Hairdresser / barber</t>
  </si>
  <si>
    <t>Cosmetics</t>
  </si>
  <si>
    <t>Cosmetics and skin care</t>
  </si>
  <si>
    <t>Spa</t>
  </si>
  <si>
    <t>Spa and beauty care</t>
  </si>
  <si>
    <t>ChildrenClothes</t>
  </si>
  <si>
    <t>Children's clothes</t>
  </si>
  <si>
    <t>Accessories</t>
  </si>
  <si>
    <t xml:space="preserve">Accessories </t>
  </si>
  <si>
    <t>Doctor</t>
  </si>
  <si>
    <t>Doctor / medical expenses</t>
  </si>
  <si>
    <t>Dentist</t>
  </si>
  <si>
    <t>Dentist expenses</t>
  </si>
  <si>
    <t>Specialists</t>
  </si>
  <si>
    <t>Pets</t>
  </si>
  <si>
    <t>PetFood</t>
  </si>
  <si>
    <t>Pet food / supplies</t>
  </si>
  <si>
    <t>Veterinarian</t>
  </si>
  <si>
    <t>Bank fees</t>
  </si>
  <si>
    <t>Credit card fees</t>
  </si>
  <si>
    <t>ProfessionalDues</t>
  </si>
  <si>
    <t>Professional dues</t>
  </si>
  <si>
    <t>Gifts and Donations</t>
  </si>
  <si>
    <t>Gifts</t>
  </si>
  <si>
    <t>Donations</t>
  </si>
  <si>
    <t>Multiplier</t>
  </si>
  <si>
    <t>SavingsTypeAll</t>
  </si>
  <si>
    <t>Your Life Situation</t>
  </si>
  <si>
    <t>Daily</t>
  </si>
  <si>
    <t>Single</t>
  </si>
  <si>
    <t>TFSA</t>
  </si>
  <si>
    <t>Single with kids</t>
  </si>
  <si>
    <t>Semi-monthly</t>
  </si>
  <si>
    <t>Couple with kids</t>
  </si>
  <si>
    <t>RDSP</t>
  </si>
  <si>
    <t>Other</t>
  </si>
  <si>
    <t>Quarterly</t>
  </si>
  <si>
    <t>Every 6 Months</t>
  </si>
  <si>
    <t>Your age range</t>
  </si>
  <si>
    <t>SavingsType1</t>
  </si>
  <si>
    <t>Under 30</t>
  </si>
  <si>
    <t>30 to 39</t>
  </si>
  <si>
    <t>Per</t>
  </si>
  <si>
    <t>40 to 54</t>
  </si>
  <si>
    <t>per week</t>
  </si>
  <si>
    <t>55 to 64</t>
  </si>
  <si>
    <t>every 2 weeks</t>
  </si>
  <si>
    <t>65 +</t>
  </si>
  <si>
    <t>per month</t>
  </si>
  <si>
    <t>SavingsType2</t>
  </si>
  <si>
    <t>per year</t>
  </si>
  <si>
    <t>Your professional situation</t>
  </si>
  <si>
    <t>Part-time or seasonal</t>
  </si>
  <si>
    <t>Self-employed</t>
  </si>
  <si>
    <t>Student</t>
  </si>
  <si>
    <t>Retired</t>
  </si>
  <si>
    <t>Unemployed</t>
  </si>
  <si>
    <t>SavingsType3</t>
  </si>
  <si>
    <t>Your home</t>
  </si>
  <si>
    <t>Renting</t>
  </si>
  <si>
    <t>SavingsType4</t>
  </si>
  <si>
    <t>Your budgeting goal</t>
  </si>
  <si>
    <t>Stay on track</t>
  </si>
  <si>
    <t>Cut my expenses</t>
  </si>
  <si>
    <t>Create my first budget</t>
  </si>
  <si>
    <t>Reduce my debt</t>
  </si>
  <si>
    <t>Green Message</t>
  </si>
  <si>
    <t>Green Min</t>
  </si>
  <si>
    <t>Green Max</t>
  </si>
  <si>
    <t>Yellow Message</t>
  </si>
  <si>
    <t>Yellow Min</t>
  </si>
  <si>
    <t>Yellow Max</t>
  </si>
  <si>
    <t>Red Message</t>
  </si>
  <si>
    <t>Red Min</t>
  </si>
  <si>
    <t>Red Max</t>
  </si>
  <si>
    <t>Zero Message</t>
  </si>
  <si>
    <t>Make sure you enter your income</t>
  </si>
  <si>
    <t>This amount is within the average range
(5% or more of income)</t>
  </si>
  <si>
    <t>This amount is slightly below the average range
(5% or more of income)</t>
  </si>
  <si>
    <t>You're not saving any money (average range: 5% or more of income)</t>
  </si>
  <si>
    <t>This amount is within the average range
(15% or less of income)</t>
  </si>
  <si>
    <t>This amount is slightly above the average range
(15% or less of income)</t>
  </si>
  <si>
    <t>This amount is above the average range
(15% or less of income)</t>
  </si>
  <si>
    <t>This amount is within the average range
(35% or less of income)</t>
  </si>
  <si>
    <t>This amount is slightly above the average range
(35% or less of income)</t>
  </si>
  <si>
    <t>This amount is above the average range
(35% or less of income)</t>
  </si>
  <si>
    <t>This amount is within the average range
(5% or less of income)</t>
  </si>
  <si>
    <t>This amount is slightly above the average range
(5% or less of income)</t>
  </si>
  <si>
    <t>This amount is above the average range
(5% or less of income)</t>
  </si>
  <si>
    <t>This amount is within the average range
(20% or less of income)</t>
  </si>
  <si>
    <t>This amount is slightly above the average range
(20% or less of income)</t>
  </si>
  <si>
    <t>This amount is above the average range
(20% or less of income)</t>
  </si>
  <si>
    <t>Your budget for food is $0 (average range: 1%-20% of income)</t>
  </si>
  <si>
    <t>This amount is within the average range
(3% or less of income)</t>
  </si>
  <si>
    <t>This amount is slightly above the average range
(3% or less of income)</t>
  </si>
  <si>
    <t>This amount is above the average range
(1%-3% of income)</t>
  </si>
  <si>
    <t>Your budget for insurance is $0 (average range: 1%-3% of income)</t>
  </si>
  <si>
    <t>This amount is within the average range
(14% or less of income)</t>
  </si>
  <si>
    <t>This amount is slightly above the average range
(14% or less of income)</t>
  </si>
  <si>
    <t>This amount is above the average range
(14% or less of income)</t>
  </si>
  <si>
    <t>This amount is within the average range
(8% or less of income)</t>
  </si>
  <si>
    <t>This amount is slightly above the average range
(8% or less of income)</t>
  </si>
  <si>
    <t>This amount is above the average range
(8% or less of income)</t>
  </si>
  <si>
    <t>PersonalCare</t>
  </si>
  <si>
    <t>This amount is within the average range
(2% or less of income)</t>
  </si>
  <si>
    <t>This amount is slightly above the average range
(2% or less of income)</t>
  </si>
  <si>
    <t>This amount is above the average range
(2% or less of income)</t>
  </si>
  <si>
    <t>This amount is above the average range
(1%-5% of income)</t>
  </si>
  <si>
    <t>Your budget for clothing is $0 (average range: 1%-5% of income)</t>
  </si>
  <si>
    <t>GiftsDonations</t>
  </si>
  <si>
    <t>Variable Name</t>
  </si>
  <si>
    <t>Calculated Value</t>
  </si>
  <si>
    <t>IsLifeSingle</t>
  </si>
  <si>
    <t>IsLifeCouple</t>
  </si>
  <si>
    <t>IsLifeSingleKids</t>
  </si>
  <si>
    <t>IsLifeCoupleKids</t>
  </si>
  <si>
    <t>IsLifeOther</t>
  </si>
  <si>
    <t>IsWorkPartTime</t>
  </si>
  <si>
    <t>IsWorkFullTime</t>
  </si>
  <si>
    <t>IsWorkSelfEmployed</t>
  </si>
  <si>
    <t>IsWorkStudent</t>
  </si>
  <si>
    <t>IsWorkRetired</t>
  </si>
  <si>
    <t>IsWorkUnemployed</t>
  </si>
  <si>
    <t>IsWorkOther</t>
  </si>
  <si>
    <t>IsHomeOwner</t>
  </si>
  <si>
    <t>IsHomeOther</t>
  </si>
  <si>
    <t>IsHomeRenting</t>
  </si>
  <si>
    <t>IsGoalStayOnTrack</t>
  </si>
  <si>
    <t>IsGoalCutOnExpenses</t>
  </si>
  <si>
    <t>IsGoalSaveMoney</t>
  </si>
  <si>
    <t>IsGoalCreateBudget</t>
  </si>
  <si>
    <t>IsGoalReduceDebt</t>
  </si>
  <si>
    <t>This planner is based off of resources from Canada's Financial Consumer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</si>
</sst>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quot;$&quot;* #,##0.00_-;_$* \-#,##0.00_-;_-&quot;$&quot;* &quot;-&quot;??_-;_-@_-"/>
  </numFmts>
  <fonts count="25" x14ac:knownFonts="1">
    <font>
      <sz val="11"/>
      <color theme="1"/>
      <name val="Calibri"/>
      <family val="2"/>
      <scheme val="minor"/>
    </font>
    <font>
      <sz val="10"/>
      <color theme="1"/>
      <name val="Calibri"/>
      <family val="2"/>
      <scheme val="minor"/>
    </font>
    <font>
      <b/>
      <sz val="10"/>
      <color theme="0"/>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006100"/>
      <name val="Calibri"/>
      <family val="2"/>
      <scheme val="minor"/>
    </font>
    <font>
      <b/>
      <sz val="10"/>
      <color theme="1"/>
      <name val="Calibri"/>
      <family val="2"/>
      <scheme val="minor"/>
    </font>
    <font>
      <u/>
      <sz val="11"/>
      <color theme="10"/>
      <name val="Calibri"/>
      <family val="2"/>
      <scheme val="minor"/>
    </font>
    <font>
      <sz val="11"/>
      <name val="Calibri"/>
      <family val="2"/>
      <scheme val="minor"/>
    </font>
    <font>
      <sz val="9"/>
      <color indexed="81"/>
      <name val="Tahoma"/>
      <family val="2"/>
    </font>
    <font>
      <b/>
      <sz val="12"/>
      <color theme="0"/>
      <name val="Tahoma"/>
      <family val="2"/>
    </font>
    <font>
      <b/>
      <sz val="11"/>
      <color theme="1"/>
      <name val="Tahoma"/>
      <family val="2"/>
    </font>
    <font>
      <b/>
      <sz val="16"/>
      <color theme="0"/>
      <name val="Tahoma"/>
      <family val="2"/>
    </font>
    <font>
      <sz val="11"/>
      <color theme="1"/>
      <name val="Tahoma"/>
      <family val="2"/>
    </font>
    <font>
      <b/>
      <sz val="11"/>
      <color theme="0"/>
      <name val="Tahoma"/>
      <family val="2"/>
    </font>
    <font>
      <sz val="11"/>
      <color theme="0"/>
      <name val="Tahoma"/>
      <family val="2"/>
    </font>
    <font>
      <sz val="12"/>
      <color theme="1"/>
      <name val="Tahoma"/>
      <family val="2"/>
    </font>
    <font>
      <b/>
      <sz val="12"/>
      <color theme="1"/>
      <name val="Tahoma"/>
      <family val="2"/>
    </font>
    <font>
      <b/>
      <sz val="14"/>
      <color theme="0"/>
      <name val="Tahoma"/>
      <family val="2"/>
    </font>
    <font>
      <b/>
      <sz val="12"/>
      <name val="Tahoma"/>
      <family val="2"/>
    </font>
    <font>
      <sz val="10"/>
      <name val="Tahoma"/>
      <family val="2"/>
    </font>
    <font>
      <sz val="12"/>
      <color rgb="FF222222"/>
      <name val="Tahoma"/>
      <family val="2"/>
    </font>
    <font>
      <u/>
      <sz val="11"/>
      <color theme="4"/>
      <name val="Tahoma"/>
      <family val="2"/>
    </font>
    <font>
      <i/>
      <u/>
      <sz val="9"/>
      <color theme="0"/>
      <name val="Tahoma"/>
      <family val="2"/>
    </font>
  </fonts>
  <fills count="19">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5183BF"/>
        <bgColor indexed="64"/>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EE062"/>
        <bgColor indexed="64"/>
      </patternFill>
    </fill>
    <fill>
      <patternFill patternType="solid">
        <fgColor rgb="FF97DF93"/>
        <bgColor indexed="64"/>
      </patternFill>
    </fill>
    <fill>
      <patternFill patternType="solid">
        <fgColor rgb="FFFF6969"/>
        <bgColor indexed="64"/>
      </patternFill>
    </fill>
    <fill>
      <patternFill patternType="solid">
        <fgColor theme="4" tint="-0.499984740745262"/>
        <bgColor theme="6"/>
      </patternFill>
    </fill>
    <fill>
      <patternFill patternType="solid">
        <fgColor theme="0"/>
        <bgColor indexed="64"/>
      </patternFill>
    </fill>
    <fill>
      <patternFill patternType="solid">
        <fgColor theme="4" tint="0.59999389629810485"/>
        <bgColor indexed="64"/>
      </patternFill>
    </fill>
    <fill>
      <patternFill patternType="solid">
        <fgColor rgb="FFCDA176"/>
        <bgColor indexed="64"/>
      </patternFill>
    </fill>
    <fill>
      <patternFill patternType="solid">
        <fgColor rgb="FF404352"/>
        <bgColor indexed="64"/>
      </patternFill>
    </fill>
    <fill>
      <patternFill patternType="solid">
        <fgColor theme="1"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
      <left style="thin">
        <color theme="0"/>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left>
      <right/>
      <top/>
      <bottom style="thin">
        <color theme="0" tint="-0.14996795556505021"/>
      </bottom>
      <diagonal/>
    </border>
    <border>
      <left/>
      <right style="thin">
        <color theme="0"/>
      </right>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right style="thin">
        <color theme="0"/>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top style="thin">
        <color theme="0" tint="-0.14996795556505021"/>
      </top>
      <bottom/>
      <diagonal/>
    </border>
    <border>
      <left/>
      <right/>
      <top style="medium">
        <color theme="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thick">
        <color theme="3" tint="0.39994506668294322"/>
      </left>
      <right/>
      <top/>
      <bottom/>
      <diagonal/>
    </border>
    <border>
      <left style="thin">
        <color indexed="64"/>
      </left>
      <right style="thin">
        <color indexed="64"/>
      </right>
      <top/>
      <bottom style="thin">
        <color indexed="64"/>
      </bottom>
      <diagonal/>
    </border>
    <border>
      <left/>
      <right style="thin">
        <color auto="1"/>
      </right>
      <top/>
      <bottom/>
      <diagonal/>
    </border>
    <border>
      <left style="thick">
        <color rgb="FFCDA176"/>
      </left>
      <right/>
      <top/>
      <bottom/>
      <diagonal/>
    </border>
  </borders>
  <cellStyleXfs count="4">
    <xf numFmtId="0" fontId="0" fillId="0" borderId="0"/>
    <xf numFmtId="0" fontId="6" fillId="5" borderId="0"/>
    <xf numFmtId="0" fontId="8" fillId="0" borderId="0"/>
    <xf numFmtId="9" fontId="3" fillId="0" borderId="0"/>
  </cellStyleXfs>
  <cellXfs count="135">
    <xf numFmtId="0" fontId="0" fillId="0" borderId="0" xfId="0"/>
    <xf numFmtId="0" fontId="1" fillId="0" borderId="1" xfId="0" applyFont="1" applyBorder="1"/>
    <xf numFmtId="0" fontId="1" fillId="0" borderId="0" xfId="0" applyFont="1"/>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wrapText="1"/>
    </xf>
    <xf numFmtId="0" fontId="1" fillId="0" borderId="0" xfId="0" applyFont="1" applyAlignment="1">
      <alignment vertical="center"/>
    </xf>
    <xf numFmtId="0" fontId="7" fillId="8" borderId="1" xfId="0" applyFont="1" applyFill="1" applyBorder="1" applyAlignment="1">
      <alignment vertical="center" wrapText="1"/>
    </xf>
    <xf numFmtId="0" fontId="7" fillId="9" borderId="1" xfId="0" applyFont="1" applyFill="1" applyBorder="1" applyAlignment="1">
      <alignment horizontal="left" vertical="center"/>
    </xf>
    <xf numFmtId="0" fontId="7" fillId="11" borderId="1" xfId="1" applyFont="1" applyFill="1" applyBorder="1" applyAlignment="1">
      <alignment horizontal="center" vertical="center" wrapText="1"/>
    </xf>
    <xf numFmtId="0" fontId="7" fillId="10" borderId="1" xfId="0" applyFont="1" applyFill="1" applyBorder="1" applyAlignment="1">
      <alignment horizontal="center" wrapText="1"/>
    </xf>
    <xf numFmtId="0" fontId="7" fillId="12" borderId="1" xfId="0" applyFont="1" applyFill="1" applyBorder="1" applyAlignment="1">
      <alignment horizontal="center" wrapText="1"/>
    </xf>
    <xf numFmtId="0" fontId="1" fillId="0" borderId="1" xfId="0" applyFont="1" applyBorder="1" applyAlignment="1">
      <alignment vertical="center" wrapText="1"/>
    </xf>
    <xf numFmtId="0" fontId="2" fillId="13" borderId="1" xfId="0" applyFont="1" applyFill="1" applyBorder="1"/>
    <xf numFmtId="0" fontId="1" fillId="2" borderId="2" xfId="0" applyFont="1" applyFill="1" applyBorder="1"/>
    <xf numFmtId="0" fontId="1" fillId="2" borderId="3" xfId="0" applyFont="1" applyFill="1" applyBorder="1"/>
    <xf numFmtId="0" fontId="1" fillId="14" borderId="4" xfId="0" applyFont="1" applyFill="1" applyBorder="1"/>
    <xf numFmtId="0" fontId="1" fillId="14" borderId="5" xfId="0" applyFont="1" applyFill="1" applyBorder="1"/>
    <xf numFmtId="0" fontId="1" fillId="14" borderId="6" xfId="0" applyFont="1" applyFill="1" applyBorder="1"/>
    <xf numFmtId="0" fontId="1" fillId="14" borderId="7" xfId="0" applyFont="1" applyFill="1" applyBorder="1"/>
    <xf numFmtId="0" fontId="2" fillId="2" borderId="1" xfId="0" applyFont="1" applyFill="1" applyBorder="1"/>
    <xf numFmtId="0" fontId="2" fillId="2" borderId="0" xfId="0" applyFont="1" applyFill="1"/>
    <xf numFmtId="0" fontId="0" fillId="0" borderId="0" xfId="0" applyAlignment="1">
      <alignment horizontal="left" vertical="top" wrapText="1"/>
    </xf>
    <xf numFmtId="0" fontId="0" fillId="0" borderId="0" xfId="0" applyAlignment="1">
      <alignment horizontal="center" vertical="center"/>
    </xf>
    <xf numFmtId="0" fontId="4" fillId="0" borderId="1" xfId="0" applyFont="1" applyBorder="1" applyAlignment="1">
      <alignment vertical="center" wrapText="1"/>
    </xf>
    <xf numFmtId="49" fontId="0" fillId="0" borderId="1" xfId="0" applyNumberFormat="1"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vertical="center" wrapText="1"/>
    </xf>
    <xf numFmtId="9" fontId="0" fillId="0" borderId="1" xfId="0" applyNumberFormat="1" applyBorder="1" applyAlignment="1">
      <alignment vertical="center" wrapText="1"/>
    </xf>
    <xf numFmtId="0" fontId="0" fillId="0" borderId="1" xfId="0" applyBorder="1"/>
    <xf numFmtId="0" fontId="4" fillId="0" borderId="1" xfId="0" applyFont="1" applyBorder="1"/>
    <xf numFmtId="164" fontId="0" fillId="0" borderId="1" xfId="0" applyNumberFormat="1" applyBorder="1"/>
    <xf numFmtId="0" fontId="5" fillId="2" borderId="21" xfId="0" applyFont="1" applyFill="1" applyBorder="1" applyAlignment="1">
      <alignment vertical="center" wrapText="1"/>
    </xf>
    <xf numFmtId="2" fontId="5" fillId="2" borderId="21" xfId="3" applyNumberFormat="1" applyFont="1" applyFill="1" applyBorder="1" applyAlignment="1">
      <alignment vertical="center" wrapText="1"/>
    </xf>
    <xf numFmtId="0" fontId="5" fillId="2" borderId="21" xfId="0" applyFont="1" applyFill="1" applyBorder="1" applyAlignment="1">
      <alignment horizontal="center" vertical="center" wrapText="1"/>
    </xf>
    <xf numFmtId="0" fontId="5" fillId="2" borderId="0" xfId="0" applyFont="1" applyFill="1" applyAlignment="1">
      <alignment vertical="center" wrapText="1"/>
    </xf>
    <xf numFmtId="0" fontId="0" fillId="0" borderId="0" xfId="0"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0" borderId="1" xfId="0" applyBorder="1" applyAlignment="1">
      <alignment horizontal="center" vertical="center" wrapText="1"/>
    </xf>
    <xf numFmtId="2" fontId="0" fillId="7" borderId="1" xfId="3" applyNumberFormat="1" applyFont="1" applyFill="1" applyBorder="1" applyAlignment="1">
      <alignment horizontal="center" vertical="center" wrapText="1"/>
    </xf>
    <xf numFmtId="0" fontId="9" fillId="0" borderId="1" xfId="0" applyFont="1" applyBorder="1" applyAlignment="1">
      <alignment vertical="center" wrapText="1"/>
    </xf>
    <xf numFmtId="0" fontId="9" fillId="7" borderId="1" xfId="0" applyFont="1" applyFill="1" applyBorder="1" applyAlignment="1">
      <alignment vertical="center" wrapText="1"/>
    </xf>
    <xf numFmtId="2" fontId="0" fillId="0" borderId="1" xfId="3" applyNumberFormat="1" applyFont="1" applyBorder="1" applyAlignment="1">
      <alignment horizontal="center" vertical="center" wrapText="1"/>
    </xf>
    <xf numFmtId="2" fontId="0" fillId="0" borderId="0" xfId="3" applyNumberFormat="1" applyFont="1" applyAlignment="1">
      <alignment vertical="center" wrapText="1"/>
    </xf>
    <xf numFmtId="0" fontId="0" fillId="0" borderId="0" xfId="0" applyAlignment="1">
      <alignment horizontal="center" vertical="center" wrapText="1"/>
    </xf>
    <xf numFmtId="0" fontId="1" fillId="14" borderId="0" xfId="0" applyFont="1" applyFill="1"/>
    <xf numFmtId="0" fontId="1" fillId="2" borderId="26" xfId="0" applyFont="1" applyFill="1" applyBorder="1"/>
    <xf numFmtId="0" fontId="1" fillId="14" borderId="1" xfId="0" applyFont="1" applyFill="1" applyBorder="1"/>
    <xf numFmtId="165" fontId="11" fillId="3" borderId="0" xfId="0" applyNumberFormat="1" applyFont="1" applyFill="1" applyAlignment="1">
      <alignment horizontal="left" vertical="center"/>
    </xf>
    <xf numFmtId="49" fontId="12" fillId="0" borderId="0" xfId="0" applyNumberFormat="1" applyFont="1" applyAlignment="1">
      <alignment vertical="center"/>
    </xf>
    <xf numFmtId="165" fontId="14" fillId="0" borderId="0" xfId="0" applyNumberFormat="1" applyFont="1" applyAlignment="1">
      <alignment vertical="center" wrapText="1"/>
    </xf>
    <xf numFmtId="0" fontId="14" fillId="0" borderId="0" xfId="0" applyFont="1" applyAlignment="1">
      <alignment vertical="center" wrapText="1"/>
    </xf>
    <xf numFmtId="165" fontId="14" fillId="0" borderId="0" xfId="0" applyNumberFormat="1" applyFont="1" applyAlignment="1">
      <alignment vertical="center"/>
    </xf>
    <xf numFmtId="165" fontId="14" fillId="2" borderId="0" xfId="0" applyNumberFormat="1" applyFont="1" applyFill="1" applyAlignment="1">
      <alignment vertical="center"/>
    </xf>
    <xf numFmtId="165" fontId="11" fillId="3" borderId="0" xfId="0" applyNumberFormat="1" applyFont="1" applyFill="1" applyAlignment="1">
      <alignment horizontal="right" vertical="center"/>
    </xf>
    <xf numFmtId="165" fontId="17" fillId="0" borderId="0" xfId="0" applyNumberFormat="1" applyFont="1" applyAlignment="1">
      <alignment vertical="center"/>
    </xf>
    <xf numFmtId="165" fontId="17" fillId="0" borderId="27" xfId="0" applyNumberFormat="1" applyFont="1" applyBorder="1" applyAlignment="1">
      <alignment vertical="center"/>
    </xf>
    <xf numFmtId="0" fontId="17" fillId="0" borderId="0" xfId="0" applyFont="1" applyAlignment="1">
      <alignment vertical="center" wrapText="1"/>
    </xf>
    <xf numFmtId="0" fontId="18" fillId="0" borderId="0" xfId="0" applyFont="1" applyAlignment="1">
      <alignment vertical="center" wrapText="1"/>
    </xf>
    <xf numFmtId="0" fontId="14" fillId="0" borderId="0" xfId="0" applyFont="1"/>
    <xf numFmtId="0" fontId="14" fillId="0" borderId="27" xfId="0" applyFont="1" applyBorder="1"/>
    <xf numFmtId="165" fontId="19" fillId="2" borderId="0" xfId="0" applyNumberFormat="1" applyFont="1" applyFill="1" applyAlignment="1">
      <alignment vertical="center"/>
    </xf>
    <xf numFmtId="165" fontId="14" fillId="3" borderId="10" xfId="0" applyNumberFormat="1" applyFont="1" applyFill="1" applyBorder="1" applyAlignment="1">
      <alignment vertical="center"/>
    </xf>
    <xf numFmtId="165" fontId="14" fillId="0" borderId="9" xfId="0" applyNumberFormat="1" applyFont="1" applyBorder="1" applyAlignment="1">
      <alignment vertical="center"/>
    </xf>
    <xf numFmtId="165" fontId="14" fillId="0" borderId="9" xfId="0" applyNumberFormat="1" applyFont="1" applyBorder="1" applyAlignment="1" applyProtection="1">
      <alignment vertical="center"/>
      <protection locked="0"/>
    </xf>
    <xf numFmtId="165" fontId="14" fillId="6" borderId="9" xfId="0" applyNumberFormat="1" applyFont="1" applyFill="1" applyBorder="1" applyAlignment="1">
      <alignment vertical="center"/>
    </xf>
    <xf numFmtId="165" fontId="12" fillId="7" borderId="9" xfId="0" applyNumberFormat="1" applyFont="1" applyFill="1" applyBorder="1" applyAlignment="1">
      <alignment vertical="center"/>
    </xf>
    <xf numFmtId="165" fontId="14" fillId="7" borderId="9" xfId="0" applyNumberFormat="1" applyFont="1" applyFill="1" applyBorder="1" applyAlignment="1">
      <alignment vertical="center"/>
    </xf>
    <xf numFmtId="165" fontId="14" fillId="0" borderId="11" xfId="0" applyNumberFormat="1" applyFont="1" applyBorder="1" applyAlignment="1">
      <alignment vertical="center"/>
    </xf>
    <xf numFmtId="165" fontId="14" fillId="0" borderId="11" xfId="0" applyNumberFormat="1" applyFont="1" applyBorder="1" applyAlignment="1" applyProtection="1">
      <alignment vertical="center"/>
      <protection locked="0"/>
    </xf>
    <xf numFmtId="165" fontId="15" fillId="2" borderId="7" xfId="0" applyNumberFormat="1" applyFont="1" applyFill="1" applyBorder="1" applyAlignment="1">
      <alignment vertical="center"/>
    </xf>
    <xf numFmtId="165" fontId="19" fillId="2" borderId="8" xfId="0" applyNumberFormat="1" applyFont="1" applyFill="1" applyBorder="1" applyAlignment="1">
      <alignment vertical="center"/>
    </xf>
    <xf numFmtId="165" fontId="15" fillId="3" borderId="0" xfId="0" applyNumberFormat="1" applyFont="1" applyFill="1" applyAlignment="1">
      <alignment vertical="center"/>
    </xf>
    <xf numFmtId="165" fontId="11" fillId="3" borderId="0" xfId="0" applyNumberFormat="1" applyFont="1" applyFill="1" applyAlignment="1">
      <alignment vertical="center"/>
    </xf>
    <xf numFmtId="165" fontId="17" fillId="3" borderId="0" xfId="0" applyNumberFormat="1" applyFont="1" applyFill="1" applyAlignment="1">
      <alignment horizontal="right" vertical="center"/>
    </xf>
    <xf numFmtId="165" fontId="14" fillId="4" borderId="10" xfId="0" applyNumberFormat="1" applyFont="1" applyFill="1" applyBorder="1" applyAlignment="1">
      <alignment vertical="center"/>
    </xf>
    <xf numFmtId="165" fontId="22" fillId="0" borderId="0" xfId="0" applyNumberFormat="1" applyFont="1" applyAlignment="1">
      <alignment vertical="center"/>
    </xf>
    <xf numFmtId="165" fontId="14" fillId="4" borderId="15" xfId="0" applyNumberFormat="1" applyFont="1" applyFill="1" applyBorder="1" applyAlignment="1">
      <alignment vertical="center"/>
    </xf>
    <xf numFmtId="165" fontId="14" fillId="4" borderId="16" xfId="0" applyNumberFormat="1" applyFont="1" applyFill="1" applyBorder="1" applyAlignment="1">
      <alignment vertical="center"/>
    </xf>
    <xf numFmtId="165" fontId="14" fillId="0" borderId="13" xfId="0" applyNumberFormat="1" applyFont="1" applyBorder="1" applyAlignment="1">
      <alignment vertical="center"/>
    </xf>
    <xf numFmtId="165" fontId="14" fillId="0" borderId="17" xfId="0" applyNumberFormat="1" applyFont="1" applyBorder="1" applyAlignment="1">
      <alignment vertical="center"/>
    </xf>
    <xf numFmtId="165" fontId="14" fillId="0" borderId="17" xfId="0" applyNumberFormat="1" applyFont="1" applyBorder="1" applyAlignment="1" applyProtection="1">
      <alignment vertical="center"/>
      <protection locked="0"/>
    </xf>
    <xf numFmtId="165" fontId="14" fillId="0" borderId="12" xfId="0" applyNumberFormat="1" applyFont="1" applyBorder="1" applyAlignment="1" applyProtection="1">
      <alignment vertical="center"/>
      <protection locked="0"/>
    </xf>
    <xf numFmtId="165" fontId="14" fillId="6" borderId="13" xfId="0" applyNumberFormat="1" applyFont="1" applyFill="1" applyBorder="1" applyAlignment="1">
      <alignment vertical="center"/>
    </xf>
    <xf numFmtId="165" fontId="14" fillId="6" borderId="17" xfId="0" applyNumberFormat="1" applyFont="1" applyFill="1" applyBorder="1" applyAlignment="1">
      <alignment vertical="center"/>
    </xf>
    <xf numFmtId="165" fontId="14" fillId="0" borderId="18" xfId="0" applyNumberFormat="1" applyFont="1" applyBorder="1" applyAlignment="1">
      <alignment vertical="center"/>
    </xf>
    <xf numFmtId="165" fontId="14" fillId="0" borderId="19" xfId="0" applyNumberFormat="1" applyFont="1" applyBorder="1" applyAlignment="1">
      <alignment vertical="center"/>
    </xf>
    <xf numFmtId="165" fontId="14" fillId="0" borderId="19" xfId="0" applyNumberFormat="1" applyFont="1" applyBorder="1" applyAlignment="1" applyProtection="1">
      <alignment vertical="center"/>
      <protection locked="0"/>
    </xf>
    <xf numFmtId="165" fontId="14" fillId="0" borderId="20" xfId="0" applyNumberFormat="1" applyFont="1" applyBorder="1" applyAlignment="1" applyProtection="1">
      <alignment vertical="center"/>
      <protection locked="0"/>
    </xf>
    <xf numFmtId="165" fontId="11" fillId="18" borderId="0" xfId="0" applyNumberFormat="1" applyFont="1" applyFill="1" applyAlignment="1">
      <alignment horizontal="right" vertical="center"/>
    </xf>
    <xf numFmtId="165" fontId="17" fillId="18" borderId="0" xfId="0" applyNumberFormat="1" applyFont="1" applyFill="1" applyAlignment="1">
      <alignment vertical="center"/>
    </xf>
    <xf numFmtId="165" fontId="17" fillId="18" borderId="27" xfId="0" applyNumberFormat="1" applyFont="1" applyFill="1" applyBorder="1" applyAlignment="1">
      <alignment vertical="center"/>
    </xf>
    <xf numFmtId="165" fontId="18" fillId="18" borderId="0" xfId="0" applyNumberFormat="1" applyFont="1" applyFill="1" applyAlignment="1" applyProtection="1">
      <alignment vertical="center"/>
      <protection locked="0"/>
    </xf>
    <xf numFmtId="165" fontId="18" fillId="18" borderId="0" xfId="0" applyNumberFormat="1" applyFont="1" applyFill="1" applyAlignment="1">
      <alignment vertical="center"/>
    </xf>
    <xf numFmtId="165" fontId="18" fillId="18" borderId="27" xfId="0" applyNumberFormat="1" applyFont="1" applyFill="1" applyBorder="1" applyAlignment="1">
      <alignment vertical="center"/>
    </xf>
    <xf numFmtId="0" fontId="16" fillId="18" borderId="0" xfId="0" applyFont="1" applyFill="1" applyAlignment="1">
      <alignment vertical="center"/>
    </xf>
    <xf numFmtId="0" fontId="15" fillId="18" borderId="0" xfId="0" applyFont="1" applyFill="1" applyAlignment="1">
      <alignment vertical="center"/>
    </xf>
    <xf numFmtId="0" fontId="11" fillId="18" borderId="0" xfId="0" applyFont="1" applyFill="1" applyAlignment="1">
      <alignment horizontal="right" vertical="center"/>
    </xf>
    <xf numFmtId="0" fontId="18" fillId="18" borderId="0" xfId="0" applyFont="1" applyFill="1" applyAlignment="1">
      <alignment vertical="center"/>
    </xf>
    <xf numFmtId="165" fontId="19" fillId="16" borderId="0" xfId="0" applyNumberFormat="1" applyFont="1" applyFill="1" applyAlignment="1">
      <alignment vertical="center"/>
    </xf>
    <xf numFmtId="165" fontId="20" fillId="16" borderId="0" xfId="0" applyNumberFormat="1" applyFont="1" applyFill="1" applyAlignment="1">
      <alignment horizontal="right" vertical="center"/>
    </xf>
    <xf numFmtId="165" fontId="14" fillId="18" borderId="10" xfId="0" applyNumberFormat="1" applyFont="1" applyFill="1" applyBorder="1" applyAlignment="1">
      <alignment vertical="center"/>
    </xf>
    <xf numFmtId="165" fontId="19" fillId="16" borderId="8" xfId="0" applyNumberFormat="1" applyFont="1" applyFill="1" applyBorder="1" applyAlignment="1">
      <alignment vertical="center"/>
    </xf>
    <xf numFmtId="165" fontId="14" fillId="16" borderId="8" xfId="0" applyNumberFormat="1" applyFont="1" applyFill="1" applyBorder="1" applyAlignment="1">
      <alignment vertical="center"/>
    </xf>
    <xf numFmtId="165" fontId="20" fillId="16" borderId="8" xfId="0" applyNumberFormat="1" applyFont="1" applyFill="1" applyBorder="1" applyAlignment="1">
      <alignment horizontal="right" vertical="center"/>
    </xf>
    <xf numFmtId="165" fontId="14" fillId="16" borderId="0" xfId="0" applyNumberFormat="1" applyFont="1" applyFill="1" applyAlignment="1">
      <alignment vertical="center"/>
    </xf>
    <xf numFmtId="165" fontId="11" fillId="17" borderId="0" xfId="0" applyNumberFormat="1" applyFont="1" applyFill="1" applyAlignment="1">
      <alignment vertical="center"/>
    </xf>
    <xf numFmtId="165" fontId="17" fillId="17" borderId="0" xfId="0" applyNumberFormat="1" applyFont="1" applyFill="1" applyAlignment="1">
      <alignment horizontal="right" vertical="center"/>
    </xf>
    <xf numFmtId="165" fontId="11" fillId="16" borderId="0" xfId="0" applyNumberFormat="1" applyFont="1" applyFill="1" applyAlignment="1">
      <alignment vertical="center"/>
    </xf>
    <xf numFmtId="165" fontId="17" fillId="16" borderId="0" xfId="0" applyNumberFormat="1" applyFont="1" applyFill="1" applyAlignment="1">
      <alignment horizontal="right" vertical="center"/>
    </xf>
    <xf numFmtId="165" fontId="14" fillId="18" borderId="16" xfId="0" applyNumberFormat="1" applyFont="1" applyFill="1" applyBorder="1" applyAlignment="1">
      <alignment vertical="center"/>
    </xf>
    <xf numFmtId="165" fontId="14" fillId="18" borderId="14" xfId="0" applyNumberFormat="1" applyFont="1" applyFill="1" applyBorder="1" applyAlignment="1">
      <alignment vertical="center"/>
    </xf>
    <xf numFmtId="0" fontId="15" fillId="18" borderId="10" xfId="0" applyFont="1" applyFill="1" applyBorder="1" applyAlignment="1">
      <alignment horizontal="center" vertical="center" wrapText="1"/>
    </xf>
    <xf numFmtId="0" fontId="15" fillId="18" borderId="10" xfId="0" applyFont="1" applyFill="1" applyBorder="1" applyAlignment="1">
      <alignment horizontal="left" vertical="top" wrapText="1"/>
    </xf>
    <xf numFmtId="0" fontId="15" fillId="18" borderId="10" xfId="0" applyFont="1" applyFill="1" applyBorder="1" applyAlignment="1">
      <alignment horizontal="left" vertical="center" wrapText="1"/>
    </xf>
    <xf numFmtId="0" fontId="12" fillId="7" borderId="22" xfId="0" applyFont="1" applyFill="1" applyBorder="1" applyAlignment="1">
      <alignment horizontal="center" vertical="center" wrapText="1"/>
    </xf>
    <xf numFmtId="0" fontId="14" fillId="0" borderId="22" xfId="0" applyFont="1" applyBorder="1" applyAlignment="1">
      <alignment horizontal="left" vertical="center" wrapText="1"/>
    </xf>
    <xf numFmtId="0" fontId="23" fillId="0" borderId="22" xfId="0" applyFont="1" applyBorder="1" applyAlignment="1">
      <alignment horizontal="left" vertical="center" wrapText="1"/>
    </xf>
    <xf numFmtId="0" fontId="12" fillId="7" borderId="23" xfId="0" applyFont="1" applyFill="1" applyBorder="1" applyAlignment="1">
      <alignment horizontal="center" vertical="center" wrapText="1"/>
    </xf>
    <xf numFmtId="0" fontId="23" fillId="0" borderId="10" xfId="0" applyFont="1" applyBorder="1" applyAlignment="1">
      <alignment horizontal="left" vertical="center" wrapText="1"/>
    </xf>
    <xf numFmtId="0" fontId="12" fillId="7" borderId="24" xfId="0" applyFont="1" applyFill="1" applyBorder="1" applyAlignment="1">
      <alignment horizontal="center" vertical="center" wrapText="1"/>
    </xf>
    <xf numFmtId="0" fontId="24" fillId="16" borderId="0" xfId="2" applyFont="1" applyFill="1" applyAlignment="1">
      <alignment horizontal="center" vertical="top"/>
    </xf>
    <xf numFmtId="165" fontId="21" fillId="7" borderId="0" xfId="0" applyNumberFormat="1" applyFont="1" applyFill="1" applyAlignment="1">
      <alignment horizontal="left" vertical="center" wrapText="1"/>
    </xf>
    <xf numFmtId="0" fontId="15" fillId="18" borderId="0" xfId="0" applyFont="1" applyFill="1" applyAlignment="1">
      <alignment horizontal="right" vertical="center"/>
    </xf>
    <xf numFmtId="0" fontId="16" fillId="17" borderId="28" xfId="0" applyFont="1" applyFill="1" applyBorder="1" applyAlignment="1">
      <alignment horizontal="left" vertical="center" wrapText="1" indent="1"/>
    </xf>
    <xf numFmtId="0" fontId="16" fillId="17" borderId="0" xfId="0" applyFont="1" applyFill="1" applyAlignment="1">
      <alignment horizontal="left" vertical="center" wrapText="1" indent="1"/>
    </xf>
    <xf numFmtId="0" fontId="16" fillId="17" borderId="27" xfId="0" applyFont="1" applyFill="1" applyBorder="1" applyAlignment="1">
      <alignment horizontal="left" vertical="center" wrapText="1" indent="1"/>
    </xf>
    <xf numFmtId="165" fontId="13" fillId="16" borderId="0" xfId="0" applyNumberFormat="1" applyFont="1" applyFill="1" applyAlignment="1">
      <alignment horizontal="center" vertical="center"/>
    </xf>
    <xf numFmtId="165" fontId="13" fillId="16" borderId="27" xfId="0" applyNumberFormat="1" applyFont="1" applyFill="1" applyBorder="1" applyAlignment="1">
      <alignment horizontal="center" vertical="center"/>
    </xf>
    <xf numFmtId="0" fontId="14" fillId="15" borderId="25" xfId="0" applyFont="1" applyFill="1" applyBorder="1" applyAlignment="1">
      <alignment horizontal="left" vertical="center" wrapText="1" indent="1"/>
    </xf>
    <xf numFmtId="0" fontId="14" fillId="15" borderId="0" xfId="0" applyFont="1" applyFill="1" applyAlignment="1">
      <alignment horizontal="left" vertical="center" wrapText="1" indent="1"/>
    </xf>
    <xf numFmtId="0" fontId="14" fillId="15" borderId="27" xfId="0" applyFont="1" applyFill="1" applyBorder="1" applyAlignment="1">
      <alignment horizontal="left" vertical="center" wrapText="1" indent="1"/>
    </xf>
    <xf numFmtId="0" fontId="19" fillId="16" borderId="0" xfId="0" applyFont="1" applyFill="1" applyAlignment="1">
      <alignment horizontal="left" vertical="center" wrapText="1" indent="1"/>
    </xf>
    <xf numFmtId="0" fontId="0" fillId="7" borderId="1" xfId="0" applyFill="1" applyBorder="1" applyAlignment="1">
      <alignment horizontal="center" vertical="center" wrapText="1"/>
    </xf>
  </cellXfs>
  <cellStyles count="4">
    <cellStyle name="Good" xfId="1" builtinId="26"/>
    <cellStyle name="Hyperlink" xfId="2" builtinId="8"/>
    <cellStyle name="Normal" xfId="0" builtinId="0"/>
    <cellStyle name="Percent" xfId="3" builtinId="5"/>
  </cellStyles>
  <dxfs count="322">
    <dxf>
      <font>
        <color theme="3" tint="0.79998168889431442"/>
      </font>
      <fill>
        <patternFill patternType="solid">
          <bgColor theme="3" tint="0.79998168889431442"/>
        </patternFill>
      </fill>
    </dxf>
    <dxf>
      <font>
        <color theme="0"/>
      </font>
    </dxf>
    <dxf>
      <font>
        <strike val="0"/>
        <color auto="1"/>
      </font>
      <fill>
        <patternFill>
          <bgColor theme="3" tint="0.79998168889431442"/>
        </patternFill>
      </fill>
    </dxf>
    <dxf>
      <fill>
        <patternFill>
          <bgColor theme="3" tint="0.59996337778862885"/>
        </patternFill>
      </fill>
    </dxf>
    <dxf>
      <font>
        <color theme="0"/>
      </font>
      <fill>
        <patternFill patternType="solid">
          <bgColor theme="0"/>
        </patternFill>
      </fill>
      <border>
        <left/>
        <right style="thin">
          <color auto="1"/>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tint="-0.24994659260841701"/>
      </font>
    </dxf>
    <dxf>
      <font>
        <color rgb="FF92D050"/>
      </font>
    </dxf>
    <dxf>
      <font>
        <color rgb="FFFF373C"/>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val="0"/>
        <strike val="0"/>
        <condense val="0"/>
        <extend val="0"/>
        <outline val="0"/>
        <shadow val="0"/>
        <u val="none"/>
        <vertAlign val="baseline"/>
        <sz val="10"/>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dxf>
    <dxf>
      <border>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style="thin">
          <color theme="0"/>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border outline="0">
        <top style="thin">
          <color indexed="64"/>
        </top>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border>
      <protection locked="0" hidden="0"/>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border outline="0">
        <top style="thin">
          <color indexed="64"/>
        </top>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theme="4" tint="0.39997558519241921"/>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top style="thin">
          <color indexed="64"/>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border>
        <top style="thin">
          <color indexed="64"/>
        </top>
      </border>
    </dxf>
    <dxf>
      <font>
        <strike val="0"/>
        <outline val="0"/>
        <shadow val="0"/>
        <vertAlign val="baseline"/>
        <name val="Tahoma"/>
        <family val="2"/>
        <scheme val="none"/>
      </font>
      <numFmt numFmtId="165" formatCode="_-&quot;$&quot;* #,##0.00_-;_$* \-#,##0.00_-;_-&quot;$&quot;* &quot;-&quot;??_-;_-@_-"/>
      <fill>
        <patternFill patternType="solid">
          <fgColor indexed="64"/>
          <bgColor theme="4" tint="0.39997558519241921"/>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499984740745262"/>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strike val="0"/>
        <outline val="0"/>
        <shadow val="0"/>
        <vertAlign val="baseline"/>
        <name val="Tahoma"/>
        <family val="2"/>
        <scheme val="none"/>
      </font>
      <numFmt numFmtId="165" formatCode="_-&quot;$&quot;* #,##0.00_-;_$* \-#,##0.00_-;_-&quot;$&quot;* &quot;-&quot;??_-;_-@_-"/>
      <fill>
        <patternFill patternType="solid">
          <fgColor indexed="64"/>
          <bgColor theme="4" tint="-0.249977111117893"/>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fill>
        <patternFill patternType="solid">
          <fgColor indexed="64"/>
          <bgColor theme="4" tint="0.39997558519241921"/>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499984740745262"/>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strike val="0"/>
        <outline val="0"/>
        <shadow val="0"/>
        <vertAlign val="baseline"/>
        <name val="Tahoma"/>
        <family val="2"/>
        <scheme val="none"/>
      </font>
      <numFmt numFmtId="165" formatCode="_-&quot;$&quot;* #,##0.00_-;_$* \-#,##0.00_-;_-&quot;$&quot;* &quot;-&quot;??_-;_-@_-"/>
      <fill>
        <patternFill patternType="solid">
          <fgColor indexed="64"/>
          <bgColor theme="4" tint="-0.249977111117893"/>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CDA176"/>
      <color rgb="FF404352"/>
      <color rgb="FFB59F89"/>
      <color rgb="FF879EA6"/>
      <color rgb="FFF6EEE6"/>
      <color rgb="FF9195A9"/>
      <color rgb="FFF6F1ED"/>
      <color rgb="FF3E4576"/>
      <color rgb="FF222222"/>
      <color rgb="FFFF3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595959"/>
                </a:solidFill>
                <a:latin typeface="+mn-lt"/>
                <a:ea typeface="+mn-ea"/>
                <a:cs typeface="+mn-cs"/>
              </a:defRPr>
            </a:pPr>
            <a:r>
              <a:rPr lang="en-CA" b="1">
                <a:solidFill>
                  <a:srgbClr val="595959"/>
                </a:solidFill>
              </a:rPr>
              <a:t>Incoming and outgoing money</a:t>
            </a:r>
          </a:p>
        </c:rich>
      </c:tx>
      <c:layout>
        <c:manualLayout>
          <c:xMode val="edge"/>
          <c:yMode val="edge"/>
          <c:x val="0.2050678713892814"/>
          <c:y val="9.132420091324200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595959"/>
              </a:solidFill>
              <a:latin typeface="+mn-lt"/>
              <a:ea typeface="+mn-ea"/>
              <a:cs typeface="+mn-cs"/>
            </a:defRPr>
          </a:pPr>
          <a:endParaRPr lang="en-US"/>
        </a:p>
      </c:txPr>
    </c:title>
    <c:autoTitleDeleted val="0"/>
    <c:plotArea>
      <c:layout>
        <c:manualLayout>
          <c:layoutTarget val="inner"/>
          <c:xMode val="edge"/>
          <c:yMode val="edge"/>
          <c:x val="9.5425014319253265E-2"/>
          <c:y val="0.15161902707367059"/>
          <c:w val="0.84062614475348862"/>
          <c:h val="0.73939237047423867"/>
        </c:manualLayout>
      </c:layout>
      <c:barChart>
        <c:barDir val="col"/>
        <c:grouping val="percentStacked"/>
        <c:varyColors val="0"/>
        <c:ser>
          <c:idx val="0"/>
          <c:order val="0"/>
          <c:tx>
            <c:v>Series 1</c:v>
          </c:tx>
          <c:spPr>
            <a:solidFill>
              <a:srgbClr val="145B7F"/>
            </a:solidFill>
            <a:ln>
              <a:noFill/>
            </a:ln>
            <a:effectLst/>
          </c:spPr>
          <c:invertIfNegative val="0"/>
          <c:dLbls>
            <c:dLbl>
              <c:idx val="0"/>
              <c:tx>
                <c:rich>
                  <a:bodyPr/>
                  <a:lstStyle/>
                  <a:p>
                    <a:fld id="{D1F1AEC0-4391-47C2-B290-9DE8F46DB3DD}" type="CELLRANGE">
                      <a:rPr lang="en-US"/>
                      <a:pPr/>
                      <a:t>[CELLRANGE]</a:t>
                    </a:fld>
                    <a:endParaRPr lang="en-CA"/>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73D-4FC8-B5F4-8802111F8A0B}"/>
                </c:ext>
              </c:extLst>
            </c:dLbl>
            <c:dLbl>
              <c:idx val="1"/>
              <c:layout>
                <c:manualLayout>
                  <c:x val="-0.20463629096722621"/>
                  <c:y val="1.6968308065969367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fld id="{E3127952-6709-48B6-B120-B6A26880E19E}" type="CELLRANGE">
                      <a:rPr lang="en-US">
                        <a:solidFill>
                          <a:schemeClr val="tx1"/>
                        </a:solidFill>
                      </a:rPr>
                      <a:pPr>
                        <a:defRPr>
                          <a:solidFill>
                            <a:schemeClr val="tx1"/>
                          </a:solidFill>
                        </a:defRPr>
                      </a:pPr>
                      <a:t>[CELLRANGE]</a:t>
                    </a:fld>
                    <a:endParaRPr lang="en-CA"/>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73D-4FC8-B5F4-8802111F8A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noFill/>
                      <a:round/>
                    </a:ln>
                    <a:effectLst/>
                  </c:spPr>
                </c15:leaderLines>
              </c:ext>
            </c:extLst>
          </c:dLbls>
          <c:cat>
            <c:strLit>
              <c:ptCount val="2"/>
              <c:pt idx="0">
                <c:v>Incoming</c:v>
              </c:pt>
              <c:pt idx="1">
                <c:v>Outgoing</c:v>
              </c:pt>
            </c:strLit>
          </c:cat>
          <c:val>
            <c:numRef>
              <c:f>('Chart Data'!$B$21,'Chart Data'!$B$22)</c:f>
              <c:numCache>
                <c:formatCode>"$"#,##0.00</c:formatCode>
                <c:ptCount val="2"/>
                <c:pt idx="0">
                  <c:v>0</c:v>
                </c:pt>
                <c:pt idx="1">
                  <c:v>0</c:v>
                </c:pt>
              </c:numCache>
            </c:numRef>
          </c:val>
          <c:extLst>
            <c:ext xmlns:c15="http://schemas.microsoft.com/office/drawing/2012/chart" uri="{02D57815-91ED-43cb-92C2-25804820EDAC}">
              <c15:datalabelsRange>
                <c15:f>'Chart Data'!$E$21:$E$22</c15:f>
                <c15:dlblRangeCache>
                  <c:ptCount val="2"/>
                </c15:dlblRangeCache>
              </c15:datalabelsRange>
            </c:ext>
            <c:ext xmlns:c16="http://schemas.microsoft.com/office/drawing/2014/chart" uri="{C3380CC4-5D6E-409C-BE32-E72D297353CC}">
              <c16:uniqueId val="{00000001-A73D-4FC8-B5F4-8802111F8A0B}"/>
            </c:ext>
          </c:extLst>
        </c:ser>
        <c:ser>
          <c:idx val="1"/>
          <c:order val="1"/>
          <c:tx>
            <c:v>Series 2</c:v>
          </c:tx>
          <c:spPr>
            <a:solidFill>
              <a:schemeClr val="accent2"/>
            </a:solidFill>
            <a:ln>
              <a:noFill/>
            </a:ln>
            <a:effectLst/>
          </c:spPr>
          <c:invertIfNegative val="0"/>
          <c:dPt>
            <c:idx val="0"/>
            <c:invertIfNegative val="0"/>
            <c:bubble3D val="0"/>
            <c:spPr>
              <a:solidFill>
                <a:srgbClr val="31B942"/>
              </a:solidFill>
              <a:ln>
                <a:noFill/>
              </a:ln>
              <a:effectLst/>
            </c:spPr>
            <c:extLst>
              <c:ext xmlns:c16="http://schemas.microsoft.com/office/drawing/2014/chart" uri="{C3380CC4-5D6E-409C-BE32-E72D297353CC}">
                <c16:uniqueId val="{00000004-6291-4E93-8B91-647A144ABB81}"/>
              </c:ext>
            </c:extLst>
          </c:dPt>
          <c:dPt>
            <c:idx val="1"/>
            <c:invertIfNegative val="0"/>
            <c:bubble3D val="0"/>
            <c:spPr>
              <a:solidFill>
                <a:srgbClr val="FF8210"/>
              </a:solidFill>
              <a:ln>
                <a:noFill/>
              </a:ln>
              <a:effectLst/>
            </c:spPr>
            <c:extLst>
              <c:ext xmlns:c16="http://schemas.microsoft.com/office/drawing/2014/chart" uri="{C3380CC4-5D6E-409C-BE32-E72D297353CC}">
                <c16:uniqueId val="{00000005-6291-4E93-8B91-647A144ABB81}"/>
              </c:ext>
            </c:extLst>
          </c:dPt>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fld id="{8EBDEA8D-EC94-4C12-8018-63D335BDD6B8}" type="CELLRANGE">
                      <a:rPr lang="en-US">
                        <a:solidFill>
                          <a:schemeClr val="tx1">
                            <a:lumMod val="95000"/>
                            <a:lumOff val="5000"/>
                          </a:schemeClr>
                        </a:solidFill>
                      </a:rPr>
                      <a:pPr>
                        <a:defRPr>
                          <a:solidFill>
                            <a:schemeClr val="tx1">
                              <a:lumMod val="95000"/>
                              <a:lumOff val="5000"/>
                            </a:schemeClr>
                          </a:solidFill>
                        </a:defRPr>
                      </a:pPr>
                      <a:t>[CELLRANGE]</a:t>
                    </a:fld>
                    <a:endParaRPr lang="en-CA"/>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291-4E93-8B91-647A144ABB81}"/>
                </c:ext>
              </c:extLst>
            </c:dLbl>
            <c:dLbl>
              <c:idx val="1"/>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fld id="{2A3872A8-5593-48D3-8587-9C574A153CB3}" type="CELLRANGE">
                      <a:rPr lang="en-US"/>
                      <a:pPr>
                        <a:defRPr>
                          <a:solidFill>
                            <a:schemeClr val="tx1">
                              <a:lumMod val="95000"/>
                              <a:lumOff val="5000"/>
                            </a:schemeClr>
                          </a:solidFill>
                        </a:defRPr>
                      </a:pPr>
                      <a:t>[CELLRANGE]</a:t>
                    </a:fld>
                    <a:endParaRPr lang="en-CA"/>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291-4E93-8B91-647A144ABB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8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Incoming</c:v>
              </c:pt>
              <c:pt idx="1">
                <c:v>Outgoing</c:v>
              </c:pt>
            </c:strLit>
          </c:cat>
          <c:val>
            <c:numRef>
              <c:f>('Chart Data'!$C$21,'Chart Data'!$C$22)</c:f>
              <c:numCache>
                <c:formatCode>"$"#,##0.00</c:formatCode>
                <c:ptCount val="2"/>
                <c:pt idx="0">
                  <c:v>0</c:v>
                </c:pt>
                <c:pt idx="1">
                  <c:v>0</c:v>
                </c:pt>
              </c:numCache>
            </c:numRef>
          </c:val>
          <c:extLst>
            <c:ext xmlns:c15="http://schemas.microsoft.com/office/drawing/2012/chart" uri="{02D57815-91ED-43cb-92C2-25804820EDAC}">
              <c15:datalabelsRange>
                <c15:f>'Chart Data'!$F$21:$F$22</c15:f>
                <c15:dlblRangeCache>
                  <c:ptCount val="2"/>
                </c15:dlblRangeCache>
              </c15:datalabelsRange>
            </c:ext>
            <c:ext xmlns:c16="http://schemas.microsoft.com/office/drawing/2014/chart" uri="{C3380CC4-5D6E-409C-BE32-E72D297353CC}">
              <c16:uniqueId val="{00000002-A73D-4FC8-B5F4-8802111F8A0B}"/>
            </c:ext>
          </c:extLst>
        </c:ser>
        <c:ser>
          <c:idx val="2"/>
          <c:order val="2"/>
          <c:tx>
            <c:v>Series 3</c:v>
          </c:tx>
          <c:spPr>
            <a:solidFill>
              <a:schemeClr val="accent3"/>
            </a:solidFill>
            <a:ln>
              <a:noFill/>
            </a:ln>
            <a:effectLst/>
          </c:spPr>
          <c:invertIfNegative val="0"/>
          <c:dPt>
            <c:idx val="0"/>
            <c:invertIfNegative val="0"/>
            <c:bubble3D val="0"/>
            <c:spPr>
              <a:solidFill>
                <a:srgbClr val="E81E25"/>
              </a:solidFill>
              <a:ln>
                <a:noFill/>
              </a:ln>
              <a:effectLst/>
            </c:spPr>
            <c:extLst>
              <c:ext xmlns:c16="http://schemas.microsoft.com/office/drawing/2014/chart" uri="{C3380CC4-5D6E-409C-BE32-E72D297353CC}">
                <c16:uniqueId val="{00000009-3A43-4C3A-BD7F-3347076FC0BC}"/>
              </c:ext>
            </c:extLst>
          </c:dPt>
          <c:dPt>
            <c:idx val="1"/>
            <c:invertIfNegative val="0"/>
            <c:bubble3D val="0"/>
            <c:spPr>
              <a:solidFill>
                <a:srgbClr val="D5D5D5"/>
              </a:solidFill>
              <a:ln>
                <a:noFill/>
              </a:ln>
              <a:effectLst/>
            </c:spPr>
            <c:extLst>
              <c:ext xmlns:c16="http://schemas.microsoft.com/office/drawing/2014/chart" uri="{C3380CC4-5D6E-409C-BE32-E72D297353CC}">
                <c16:uniqueId val="{0000000A-3A43-4C3A-BD7F-3347076FC0BC}"/>
              </c:ext>
            </c:extLst>
          </c:dPt>
          <c:dLbls>
            <c:dLbl>
              <c:idx val="0"/>
              <c:tx>
                <c:rich>
                  <a:bodyPr/>
                  <a:lstStyle/>
                  <a:p>
                    <a:fld id="{EECFE7A5-F627-41D5-A484-D1288CA2E04F}" type="CELLRANGE">
                      <a:rPr lang="en-US"/>
                      <a:pPr/>
                      <a:t>[CELLRANGE]</a:t>
                    </a:fld>
                    <a:endParaRPr lang="en-CA"/>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A43-4C3A-BD7F-3347076FC0BC}"/>
                </c:ext>
              </c:extLst>
            </c:dLbl>
            <c:dLbl>
              <c:idx val="1"/>
              <c:tx>
                <c:rich>
                  <a:bodyPr/>
                  <a:lstStyle/>
                  <a:p>
                    <a:fld id="{0AE7C43E-1E2A-4FDC-9D9A-B3406C50E25E}" type="CELLRANGE">
                      <a:rPr lang="en-US"/>
                      <a:pPr/>
                      <a:t>[CELLRANGE]</a:t>
                    </a:fld>
                    <a:endParaRPr lang="en-CA"/>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A43-4C3A-BD7F-3347076FC0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noFill/>
                      <a:round/>
                    </a:ln>
                    <a:effectLst/>
                  </c:spPr>
                </c15:leaderLines>
              </c:ext>
            </c:extLst>
          </c:dLbls>
          <c:cat>
            <c:strLit>
              <c:ptCount val="2"/>
              <c:pt idx="0">
                <c:v>Incoming</c:v>
              </c:pt>
              <c:pt idx="1">
                <c:v>Outgoing</c:v>
              </c:pt>
            </c:strLit>
          </c:cat>
          <c:val>
            <c:numRef>
              <c:f>('Chart Data'!$D$21,'Chart Data'!$D$22)</c:f>
              <c:numCache>
                <c:formatCode>"$"#,##0.00</c:formatCode>
                <c:ptCount val="2"/>
                <c:pt idx="0">
                  <c:v>0</c:v>
                </c:pt>
                <c:pt idx="1">
                  <c:v>0</c:v>
                </c:pt>
              </c:numCache>
            </c:numRef>
          </c:val>
          <c:extLst>
            <c:ext xmlns:c15="http://schemas.microsoft.com/office/drawing/2012/chart" uri="{02D57815-91ED-43cb-92C2-25804820EDAC}">
              <c15:datalabelsRange>
                <c15:f>'Chart Data'!$G$21:$G$22</c15:f>
                <c15:dlblRangeCache>
                  <c:ptCount val="2"/>
                </c15:dlblRangeCache>
              </c15:datalabelsRange>
            </c:ext>
            <c:ext xmlns:c16="http://schemas.microsoft.com/office/drawing/2014/chart" uri="{C3380CC4-5D6E-409C-BE32-E72D297353CC}">
              <c16:uniqueId val="{00000008-3A43-4C3A-BD7F-3347076FC0BC}"/>
            </c:ext>
          </c:extLst>
        </c:ser>
        <c:dLbls>
          <c:dLblPos val="ctr"/>
          <c:showLegendKey val="0"/>
          <c:showVal val="1"/>
          <c:showCatName val="0"/>
          <c:showSerName val="0"/>
          <c:showPercent val="0"/>
          <c:showBubbleSize val="0"/>
        </c:dLbls>
        <c:gapWidth val="150"/>
        <c:overlap val="100"/>
        <c:axId val="2066851440"/>
        <c:axId val="2066851984"/>
      </c:barChart>
      <c:catAx>
        <c:axId val="206685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851984"/>
        <c:crosses val="autoZero"/>
        <c:auto val="1"/>
        <c:lblAlgn val="ctr"/>
        <c:lblOffset val="100"/>
        <c:noMultiLvlLbl val="0"/>
      </c:catAx>
      <c:valAx>
        <c:axId val="206685198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66851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1" i="0" u="none" strike="noStrike" baseline="0">
                <a:effectLst/>
              </a:rPr>
              <a:t>Comparison to your average Canadian</a:t>
            </a:r>
            <a:endParaRPr lang="en-US"/>
          </a:p>
        </c:rich>
      </c:tx>
      <c:overlay val="0"/>
      <c:spPr>
        <a:noFill/>
        <a:ln>
          <a:noFill/>
        </a:ln>
        <a:effectLst/>
      </c:spPr>
    </c:title>
    <c:autoTitleDeleted val="0"/>
    <c:plotArea>
      <c:layout>
        <c:manualLayout>
          <c:layoutTarget val="inner"/>
          <c:xMode val="edge"/>
          <c:yMode val="edge"/>
          <c:x val="0.18377071589150351"/>
          <c:y val="7.4929292929292929E-2"/>
          <c:w val="0.71484238788659304"/>
          <c:h val="0.9028484848484849"/>
        </c:manualLayout>
      </c:layout>
      <c:barChart>
        <c:barDir val="bar"/>
        <c:grouping val="clustered"/>
        <c:varyColors val="0"/>
        <c:ser>
          <c:idx val="0"/>
          <c:order val="0"/>
          <c:tx>
            <c:v>You</c:v>
          </c:tx>
          <c:invertIfNegative val="0"/>
          <c:dPt>
            <c:idx val="0"/>
            <c:invertIfNegative val="0"/>
            <c:bubble3D val="0"/>
            <c:spPr>
              <a:solidFill>
                <a:srgbClr val="145B7F"/>
              </a:solidFill>
            </c:spPr>
            <c:extLst>
              <c:ext xmlns:c16="http://schemas.microsoft.com/office/drawing/2014/chart" uri="{C3380CC4-5D6E-409C-BE32-E72D297353CC}">
                <c16:uniqueId val="{00000022-4269-4CF5-B171-CB279CE3424F}"/>
              </c:ext>
            </c:extLst>
          </c:dPt>
          <c:dPt>
            <c:idx val="1"/>
            <c:invertIfNegative val="0"/>
            <c:bubble3D val="0"/>
            <c:spPr>
              <a:solidFill>
                <a:srgbClr val="FF9A00"/>
              </a:solidFill>
            </c:spPr>
            <c:extLst>
              <c:ext xmlns:c16="http://schemas.microsoft.com/office/drawing/2014/chart" uri="{C3380CC4-5D6E-409C-BE32-E72D297353CC}">
                <c16:uniqueId val="{00000000-BE83-4C65-9FBC-D6EDD5906997}"/>
              </c:ext>
            </c:extLst>
          </c:dPt>
          <c:dPt>
            <c:idx val="2"/>
            <c:invertIfNegative val="0"/>
            <c:bubble3D val="0"/>
            <c:spPr>
              <a:solidFill>
                <a:srgbClr val="FFC100"/>
              </a:solidFill>
            </c:spPr>
            <c:extLst>
              <c:ext xmlns:c16="http://schemas.microsoft.com/office/drawing/2014/chart" uri="{C3380CC4-5D6E-409C-BE32-E72D297353CC}">
                <c16:uniqueId val="{00000001-BE83-4C65-9FBC-D6EDD5906997}"/>
              </c:ext>
            </c:extLst>
          </c:dPt>
          <c:dPt>
            <c:idx val="3"/>
            <c:invertIfNegative val="0"/>
            <c:bubble3D val="0"/>
            <c:spPr>
              <a:solidFill>
                <a:srgbClr val="FFE302"/>
              </a:solidFill>
            </c:spPr>
            <c:extLst>
              <c:ext xmlns:c16="http://schemas.microsoft.com/office/drawing/2014/chart" uri="{C3380CC4-5D6E-409C-BE32-E72D297353CC}">
                <c16:uniqueId val="{00000002-BE83-4C65-9FBC-D6EDD5906997}"/>
              </c:ext>
            </c:extLst>
          </c:dPt>
          <c:dPt>
            <c:idx val="4"/>
            <c:invertIfNegative val="0"/>
            <c:bubble3D val="0"/>
            <c:spPr>
              <a:solidFill>
                <a:srgbClr val="BFDF0B"/>
              </a:solidFill>
            </c:spPr>
            <c:extLst>
              <c:ext xmlns:c16="http://schemas.microsoft.com/office/drawing/2014/chart" uri="{C3380CC4-5D6E-409C-BE32-E72D297353CC}">
                <c16:uniqueId val="{00000003-BE83-4C65-9FBC-D6EDD5906997}"/>
              </c:ext>
            </c:extLst>
          </c:dPt>
          <c:dPt>
            <c:idx val="5"/>
            <c:invertIfNegative val="0"/>
            <c:bubble3D val="0"/>
            <c:spPr>
              <a:solidFill>
                <a:srgbClr val="7FBA00"/>
              </a:solidFill>
            </c:spPr>
            <c:extLst>
              <c:ext xmlns:c16="http://schemas.microsoft.com/office/drawing/2014/chart" uri="{C3380CC4-5D6E-409C-BE32-E72D297353CC}">
                <c16:uniqueId val="{00000004-BE83-4C65-9FBC-D6EDD5906997}"/>
              </c:ext>
            </c:extLst>
          </c:dPt>
          <c:dPt>
            <c:idx val="6"/>
            <c:invertIfNegative val="0"/>
            <c:bubble3D val="0"/>
            <c:spPr>
              <a:solidFill>
                <a:srgbClr val="009E98"/>
              </a:solidFill>
            </c:spPr>
            <c:extLst>
              <c:ext xmlns:c16="http://schemas.microsoft.com/office/drawing/2014/chart" uri="{C3380CC4-5D6E-409C-BE32-E72D297353CC}">
                <c16:uniqueId val="{00000005-BE83-4C65-9FBC-D6EDD5906997}"/>
              </c:ext>
            </c:extLst>
          </c:dPt>
          <c:dPt>
            <c:idx val="7"/>
            <c:invertIfNegative val="0"/>
            <c:bubble3D val="0"/>
            <c:spPr>
              <a:solidFill>
                <a:srgbClr val="00B9B9"/>
              </a:solidFill>
            </c:spPr>
            <c:extLst>
              <c:ext xmlns:c16="http://schemas.microsoft.com/office/drawing/2014/chart" uri="{C3380CC4-5D6E-409C-BE32-E72D297353CC}">
                <c16:uniqueId val="{00000006-BE83-4C65-9FBC-D6EDD5906997}"/>
              </c:ext>
            </c:extLst>
          </c:dPt>
          <c:dPt>
            <c:idx val="8"/>
            <c:invertIfNegative val="0"/>
            <c:bubble3D val="0"/>
            <c:spPr>
              <a:solidFill>
                <a:srgbClr val="01A3D1"/>
              </a:solidFill>
            </c:spPr>
            <c:extLst>
              <c:ext xmlns:c16="http://schemas.microsoft.com/office/drawing/2014/chart" uri="{C3380CC4-5D6E-409C-BE32-E72D297353CC}">
                <c16:uniqueId val="{00000007-BE83-4C65-9FBC-D6EDD5906997}"/>
              </c:ext>
            </c:extLst>
          </c:dPt>
          <c:dPt>
            <c:idx val="9"/>
            <c:invertIfNegative val="0"/>
            <c:bubble3D val="0"/>
            <c:spPr>
              <a:solidFill>
                <a:srgbClr val="0283C8"/>
              </a:solidFill>
            </c:spPr>
            <c:extLst>
              <c:ext xmlns:c16="http://schemas.microsoft.com/office/drawing/2014/chart" uri="{C3380CC4-5D6E-409C-BE32-E72D297353CC}">
                <c16:uniqueId val="{00000008-BE83-4C65-9FBC-D6EDD5906997}"/>
              </c:ext>
            </c:extLst>
          </c:dPt>
          <c:dPt>
            <c:idx val="10"/>
            <c:invertIfNegative val="0"/>
            <c:bubble3D val="0"/>
            <c:spPr>
              <a:solidFill>
                <a:srgbClr val="5C70C9"/>
              </a:solidFill>
            </c:spPr>
            <c:extLst>
              <c:ext xmlns:c16="http://schemas.microsoft.com/office/drawing/2014/chart" uri="{C3380CC4-5D6E-409C-BE32-E72D297353CC}">
                <c16:uniqueId val="{00000009-BE83-4C65-9FBC-D6EDD5906997}"/>
              </c:ext>
            </c:extLst>
          </c:dPt>
          <c:dPt>
            <c:idx val="11"/>
            <c:invertIfNegative val="0"/>
            <c:bubble3D val="0"/>
            <c:spPr>
              <a:solidFill>
                <a:srgbClr val="9457EB"/>
              </a:solidFill>
            </c:spPr>
            <c:extLst>
              <c:ext xmlns:c16="http://schemas.microsoft.com/office/drawing/2014/chart" uri="{C3380CC4-5D6E-409C-BE32-E72D297353CC}">
                <c16:uniqueId val="{0000000A-BE83-4C65-9FBC-D6EDD5906997}"/>
              </c:ext>
            </c:extLst>
          </c:dPt>
          <c:dPt>
            <c:idx val="12"/>
            <c:invertIfNegative val="0"/>
            <c:bubble3D val="0"/>
            <c:spPr>
              <a:solidFill>
                <a:srgbClr val="BF39F9"/>
              </a:solidFill>
            </c:spPr>
            <c:extLst>
              <c:ext xmlns:c16="http://schemas.microsoft.com/office/drawing/2014/chart" uri="{C3380CC4-5D6E-409C-BE32-E72D297353CC}">
                <c16:uniqueId val="{0000000B-BE83-4C65-9FBC-D6EDD5906997}"/>
              </c:ext>
            </c:extLst>
          </c:dPt>
          <c:dPt>
            <c:idx val="13"/>
            <c:invertIfNegative val="0"/>
            <c:bubble3D val="0"/>
            <c:spPr>
              <a:solidFill>
                <a:srgbClr val="D930E5"/>
              </a:solidFill>
            </c:spPr>
            <c:extLst>
              <c:ext xmlns:c16="http://schemas.microsoft.com/office/drawing/2014/chart" uri="{C3380CC4-5D6E-409C-BE32-E72D297353CC}">
                <c16:uniqueId val="{0000000C-BE83-4C65-9FBC-D6EDD5906997}"/>
              </c:ext>
            </c:extLst>
          </c:dPt>
          <c:dPt>
            <c:idx val="14"/>
            <c:invertIfNegative val="0"/>
            <c:bubble3D val="0"/>
            <c:spPr>
              <a:solidFill>
                <a:srgbClr val="E14FE4"/>
              </a:solidFill>
            </c:spPr>
            <c:extLst>
              <c:ext xmlns:c16="http://schemas.microsoft.com/office/drawing/2014/chart" uri="{C3380CC4-5D6E-409C-BE32-E72D297353CC}">
                <c16:uniqueId val="{0000000D-BE83-4C65-9FBC-D6EDD5906997}"/>
              </c:ext>
            </c:extLst>
          </c:dPt>
          <c:dLbls>
            <c:dLbl>
              <c:idx val="0"/>
              <c:tx>
                <c:rich>
                  <a:bodyPr/>
                  <a:lstStyle/>
                  <a:p>
                    <a:fld id="{CDFE082E-281C-41D7-A0E2-3BE670094A05}" type="CELLRANGE">
                      <a:rPr lang="en-US"/>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4269-4CF5-B171-CB279CE3424F}"/>
                </c:ext>
              </c:extLst>
            </c:dLbl>
            <c:dLbl>
              <c:idx val="1"/>
              <c:tx>
                <c:rich>
                  <a:bodyPr/>
                  <a:lstStyle/>
                  <a:p>
                    <a:fld id="{6ABA22C3-D8E6-41B2-B367-DE03ED598A2A}"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E83-4C65-9FBC-D6EDD5906997}"/>
                </c:ext>
              </c:extLst>
            </c:dLbl>
            <c:dLbl>
              <c:idx val="2"/>
              <c:tx>
                <c:rich>
                  <a:bodyPr/>
                  <a:lstStyle/>
                  <a:p>
                    <a:fld id="{E71D3209-02AA-48A9-9308-A066CC102413}"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E83-4C65-9FBC-D6EDD5906997}"/>
                </c:ext>
              </c:extLst>
            </c:dLbl>
            <c:dLbl>
              <c:idx val="3"/>
              <c:tx>
                <c:rich>
                  <a:bodyPr/>
                  <a:lstStyle/>
                  <a:p>
                    <a:fld id="{70AAACA5-1494-4772-8DC3-E5B8796B0389}"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E83-4C65-9FBC-D6EDD5906997}"/>
                </c:ext>
              </c:extLst>
            </c:dLbl>
            <c:dLbl>
              <c:idx val="4"/>
              <c:tx>
                <c:rich>
                  <a:bodyPr/>
                  <a:lstStyle/>
                  <a:p>
                    <a:fld id="{3B687F5B-EC10-4941-BC80-2FF826A5D344}"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E83-4C65-9FBC-D6EDD5906997}"/>
                </c:ext>
              </c:extLst>
            </c:dLbl>
            <c:dLbl>
              <c:idx val="5"/>
              <c:tx>
                <c:rich>
                  <a:bodyPr/>
                  <a:lstStyle/>
                  <a:p>
                    <a:fld id="{924E948E-F5BB-4EEC-81A3-01E9088B6D5E}"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E83-4C65-9FBC-D6EDD5906997}"/>
                </c:ext>
              </c:extLst>
            </c:dLbl>
            <c:dLbl>
              <c:idx val="6"/>
              <c:tx>
                <c:rich>
                  <a:bodyPr/>
                  <a:lstStyle/>
                  <a:p>
                    <a:fld id="{493DA087-94DB-4ED9-B11E-8C2BADCC2DFA}"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E83-4C65-9FBC-D6EDD5906997}"/>
                </c:ext>
              </c:extLst>
            </c:dLbl>
            <c:dLbl>
              <c:idx val="7"/>
              <c:tx>
                <c:rich>
                  <a:bodyPr/>
                  <a:lstStyle/>
                  <a:p>
                    <a:fld id="{EA0ED0EB-1F04-4E53-8428-8F8DE06C33B8}"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E83-4C65-9FBC-D6EDD5906997}"/>
                </c:ext>
              </c:extLst>
            </c:dLbl>
            <c:dLbl>
              <c:idx val="8"/>
              <c:tx>
                <c:rich>
                  <a:bodyPr/>
                  <a:lstStyle/>
                  <a:p>
                    <a:fld id="{C3F03DD1-47B3-4079-987F-167435E18CB6}"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E83-4C65-9FBC-D6EDD5906997}"/>
                </c:ext>
              </c:extLst>
            </c:dLbl>
            <c:dLbl>
              <c:idx val="9"/>
              <c:tx>
                <c:rich>
                  <a:bodyPr/>
                  <a:lstStyle/>
                  <a:p>
                    <a:fld id="{63029932-C2D1-47E9-A627-171D1B631076}"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E83-4C65-9FBC-D6EDD5906997}"/>
                </c:ext>
              </c:extLst>
            </c:dLbl>
            <c:dLbl>
              <c:idx val="10"/>
              <c:tx>
                <c:rich>
                  <a:bodyPr/>
                  <a:lstStyle/>
                  <a:p>
                    <a:fld id="{63435862-AAEF-4B90-B2BC-A285A74B39DC}"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E83-4C65-9FBC-D6EDD5906997}"/>
                </c:ext>
              </c:extLst>
            </c:dLbl>
            <c:dLbl>
              <c:idx val="11"/>
              <c:tx>
                <c:rich>
                  <a:bodyPr/>
                  <a:lstStyle/>
                  <a:p>
                    <a:fld id="{49A2BA46-031F-44FB-BFF0-33F3E646314B}"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E83-4C65-9FBC-D6EDD5906997}"/>
                </c:ext>
              </c:extLst>
            </c:dLbl>
            <c:dLbl>
              <c:idx val="12"/>
              <c:tx>
                <c:rich>
                  <a:bodyPr/>
                  <a:lstStyle/>
                  <a:p>
                    <a:fld id="{C2E88441-0223-4878-94CE-F1DB93312E12}"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E83-4C65-9FBC-D6EDD5906997}"/>
                </c:ext>
              </c:extLst>
            </c:dLbl>
            <c:dLbl>
              <c:idx val="13"/>
              <c:tx>
                <c:rich>
                  <a:bodyPr/>
                  <a:lstStyle/>
                  <a:p>
                    <a:fld id="{3C0470C7-2CD4-4FDC-B05C-EF40E46B8F2F}"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E83-4C65-9FBC-D6EDD5906997}"/>
                </c:ext>
              </c:extLst>
            </c:dLbl>
            <c:dLbl>
              <c:idx val="14"/>
              <c:tx>
                <c:rich>
                  <a:bodyPr/>
                  <a:lstStyle/>
                  <a:p>
                    <a:fld id="{AD7F74D5-183E-4907-BE46-CF02E12CBFCD}"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E83-4C65-9FBC-D6EDD5906997}"/>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('Chart Data'!$A$3,'Chart Data'!$A$5:$A$18)</c:f>
              <c:strCache>
                <c:ptCount val="14"/>
                <c:pt idx="0">
                  <c:v>Savings</c:v>
                </c:pt>
                <c:pt idx="1">
                  <c:v>Housing</c:v>
                </c:pt>
                <c:pt idx="2">
                  <c:v>Communications</c:v>
                </c:pt>
                <c:pt idx="3">
                  <c:v>Food</c:v>
                </c:pt>
                <c:pt idx="4">
                  <c:v>Insurance</c:v>
                </c:pt>
                <c:pt idx="5">
                  <c:v>Transportation</c:v>
                </c:pt>
                <c:pt idx="6">
                  <c:v>Education</c:v>
                </c:pt>
                <c:pt idx="7">
                  <c:v>Recreation</c:v>
                </c:pt>
                <c:pt idx="8">
                  <c:v>Personal Care</c:v>
                </c:pt>
                <c:pt idx="9">
                  <c:v>Clothing</c:v>
                </c:pt>
                <c:pt idx="10">
                  <c:v>Medical</c:v>
                </c:pt>
                <c:pt idx="11">
                  <c:v>Pets</c:v>
                </c:pt>
                <c:pt idx="12">
                  <c:v>Fees</c:v>
                </c:pt>
                <c:pt idx="13">
                  <c:v>Gifts and Donations</c:v>
                </c:pt>
              </c:strCache>
            </c:strRef>
          </c:cat>
          <c:val>
            <c:numRef>
              <c:f>('Chart Data'!$E$3,'Chart Data'!$E$5:$E$18)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5="http://schemas.microsoft.com/office/drawing/2012/chart" uri="{02D57815-91ED-43cb-92C2-25804820EDAC}">
              <c15:datalabelsRange>
                <c15:f>('Chart Data'!$H$3,'Chart Data'!$H$5:$H$18)</c15:f>
                <c15:dlblRangeCache>
                  <c:ptCount val="14"/>
                </c15:dlblRangeCache>
              </c15:datalabelsRange>
            </c:ext>
            <c:ext xmlns:c16="http://schemas.microsoft.com/office/drawing/2014/chart" uri="{C3380CC4-5D6E-409C-BE32-E72D297353CC}">
              <c16:uniqueId val="{00000041-4269-4CF5-B171-CB279CE3424F}"/>
            </c:ext>
          </c:extLst>
        </c:ser>
        <c:ser>
          <c:idx val="1"/>
          <c:order val="1"/>
          <c:tx>
            <c:v>Your average Canadian</c:v>
          </c:tx>
          <c:spPr>
            <a:solidFill>
              <a:schemeClr val="bg1">
                <a:lumMod val="85000"/>
              </a:schemeClr>
            </a:solidFill>
            <a:ln>
              <a:noFill/>
            </a:ln>
          </c:spPr>
          <c:invertIfNegative val="0"/>
          <c:dLbls>
            <c:dLbl>
              <c:idx val="0"/>
              <c:tx>
                <c:rich>
                  <a:bodyPr/>
                  <a:lstStyle/>
                  <a:p>
                    <a:fld id="{260B6A96-95E1-4C6E-80FE-0D362FFBE44C}" type="CELLRANGE">
                      <a:rPr lang="en-US"/>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A0CF-45DF-9928-41D7E47E7F1B}"/>
                </c:ext>
              </c:extLst>
            </c:dLbl>
            <c:dLbl>
              <c:idx val="1"/>
              <c:tx>
                <c:rich>
                  <a:bodyPr/>
                  <a:lstStyle/>
                  <a:p>
                    <a:fld id="{A352E460-065D-42B6-9F37-73927F4050A7}"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A0CF-45DF-9928-41D7E47E7F1B}"/>
                </c:ext>
              </c:extLst>
            </c:dLbl>
            <c:dLbl>
              <c:idx val="2"/>
              <c:tx>
                <c:rich>
                  <a:bodyPr/>
                  <a:lstStyle/>
                  <a:p>
                    <a:fld id="{B3DA92B1-7E56-4034-B8BE-209C34DF21AD}"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A0CF-45DF-9928-41D7E47E7F1B}"/>
                </c:ext>
              </c:extLst>
            </c:dLbl>
            <c:dLbl>
              <c:idx val="3"/>
              <c:tx>
                <c:rich>
                  <a:bodyPr/>
                  <a:lstStyle/>
                  <a:p>
                    <a:fld id="{F379A0D9-A71F-4107-AB50-1B61916B5BFE}"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A0CF-45DF-9928-41D7E47E7F1B}"/>
                </c:ext>
              </c:extLst>
            </c:dLbl>
            <c:dLbl>
              <c:idx val="4"/>
              <c:tx>
                <c:rich>
                  <a:bodyPr/>
                  <a:lstStyle/>
                  <a:p>
                    <a:fld id="{BD01AB9E-EFAF-4907-9355-809AE2E1C388}"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A0CF-45DF-9928-41D7E47E7F1B}"/>
                </c:ext>
              </c:extLst>
            </c:dLbl>
            <c:dLbl>
              <c:idx val="5"/>
              <c:tx>
                <c:rich>
                  <a:bodyPr/>
                  <a:lstStyle/>
                  <a:p>
                    <a:fld id="{F70D2729-1B8A-4A07-86B4-4ED97339A3BC}"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A0CF-45DF-9928-41D7E47E7F1B}"/>
                </c:ext>
              </c:extLst>
            </c:dLbl>
            <c:dLbl>
              <c:idx val="6"/>
              <c:tx>
                <c:rich>
                  <a:bodyPr/>
                  <a:lstStyle/>
                  <a:p>
                    <a:fld id="{7FB810DB-49B9-42B1-8F1D-A1FC74DE3A5F}"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A0CF-45DF-9928-41D7E47E7F1B}"/>
                </c:ext>
              </c:extLst>
            </c:dLbl>
            <c:dLbl>
              <c:idx val="7"/>
              <c:tx>
                <c:rich>
                  <a:bodyPr/>
                  <a:lstStyle/>
                  <a:p>
                    <a:fld id="{C15B4A51-CB65-4B4E-9357-E33CD37AA110}"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A0CF-45DF-9928-41D7E47E7F1B}"/>
                </c:ext>
              </c:extLst>
            </c:dLbl>
            <c:dLbl>
              <c:idx val="8"/>
              <c:tx>
                <c:rich>
                  <a:bodyPr/>
                  <a:lstStyle/>
                  <a:p>
                    <a:fld id="{5212C0B0-D59C-4CDB-A3DB-065B84D144AB}"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A0CF-45DF-9928-41D7E47E7F1B}"/>
                </c:ext>
              </c:extLst>
            </c:dLbl>
            <c:dLbl>
              <c:idx val="9"/>
              <c:tx>
                <c:rich>
                  <a:bodyPr/>
                  <a:lstStyle/>
                  <a:p>
                    <a:fld id="{E636E2C6-2A29-4E7B-8265-1B18A3F442A3}"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A0CF-45DF-9928-41D7E47E7F1B}"/>
                </c:ext>
              </c:extLst>
            </c:dLbl>
            <c:dLbl>
              <c:idx val="10"/>
              <c:tx>
                <c:rich>
                  <a:bodyPr/>
                  <a:lstStyle/>
                  <a:p>
                    <a:fld id="{9D6060A4-4BE0-4CCB-B835-1DBB617ADB2D}"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A0CF-45DF-9928-41D7E47E7F1B}"/>
                </c:ext>
              </c:extLst>
            </c:dLbl>
            <c:dLbl>
              <c:idx val="11"/>
              <c:tx>
                <c:rich>
                  <a:bodyPr/>
                  <a:lstStyle/>
                  <a:p>
                    <a:fld id="{D72CAF7B-D38C-49DC-B482-CA7B4D75D884}"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A0CF-45DF-9928-41D7E47E7F1B}"/>
                </c:ext>
              </c:extLst>
            </c:dLbl>
            <c:dLbl>
              <c:idx val="12"/>
              <c:tx>
                <c:rich>
                  <a:bodyPr/>
                  <a:lstStyle/>
                  <a:p>
                    <a:fld id="{B30C57EC-E198-4AE8-9AE2-8FACFD342087}"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A0CF-45DF-9928-41D7E47E7F1B}"/>
                </c:ext>
              </c:extLst>
            </c:dLbl>
            <c:dLbl>
              <c:idx val="13"/>
              <c:tx>
                <c:rich>
                  <a:bodyPr/>
                  <a:lstStyle/>
                  <a:p>
                    <a:fld id="{01970A33-F366-405A-B190-6C962C71B042}"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A0CF-45DF-9928-41D7E47E7F1B}"/>
                </c:ext>
              </c:extLst>
            </c:dLbl>
            <c:dLbl>
              <c:idx val="14"/>
              <c:tx>
                <c:rich>
                  <a:bodyPr/>
                  <a:lstStyle/>
                  <a:p>
                    <a:fld id="{078CE2A6-76C4-479D-A0EA-C702126446F2}"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A0CF-45DF-9928-41D7E47E7F1B}"/>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('Chart Data'!$A$3,'Chart Data'!$A$5:$A$18)</c:f>
              <c:strCache>
                <c:ptCount val="14"/>
                <c:pt idx="0">
                  <c:v>Savings</c:v>
                </c:pt>
                <c:pt idx="1">
                  <c:v>Housing</c:v>
                </c:pt>
                <c:pt idx="2">
                  <c:v>Communications</c:v>
                </c:pt>
                <c:pt idx="3">
                  <c:v>Food</c:v>
                </c:pt>
                <c:pt idx="4">
                  <c:v>Insurance</c:v>
                </c:pt>
                <c:pt idx="5">
                  <c:v>Transportation</c:v>
                </c:pt>
                <c:pt idx="6">
                  <c:v>Education</c:v>
                </c:pt>
                <c:pt idx="7">
                  <c:v>Recreation</c:v>
                </c:pt>
                <c:pt idx="8">
                  <c:v>Personal Care</c:v>
                </c:pt>
                <c:pt idx="9">
                  <c:v>Clothing</c:v>
                </c:pt>
                <c:pt idx="10">
                  <c:v>Medical</c:v>
                </c:pt>
                <c:pt idx="11">
                  <c:v>Pets</c:v>
                </c:pt>
                <c:pt idx="12">
                  <c:v>Fees</c:v>
                </c:pt>
                <c:pt idx="13">
                  <c:v>Gifts and Donations</c:v>
                </c:pt>
              </c:strCache>
            </c:strRef>
          </c:cat>
          <c:val>
            <c:numRef>
              <c:f>('Chart Data'!$G$3,'Chart Data'!$G$5:$G$18)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5="http://schemas.microsoft.com/office/drawing/2012/chart" uri="{02D57815-91ED-43cb-92C2-25804820EDAC}">
              <c15:datalabelsRange>
                <c15:f>('Chart Data'!$I$3,'Chart Data'!$I$5:$I$18)</c15:f>
                <c15:dlblRangeCache>
                  <c:ptCount val="14"/>
                </c15:dlblRangeCache>
              </c15:datalabelsRange>
            </c:ext>
            <c:ext xmlns:c16="http://schemas.microsoft.com/office/drawing/2014/chart" uri="{C3380CC4-5D6E-409C-BE32-E72D297353CC}">
              <c16:uniqueId val="{0000001E-A0CF-45DF-9928-41D7E47E7F1B}"/>
            </c:ext>
          </c:extLst>
        </c:ser>
        <c:dLbls>
          <c:showLegendKey val="0"/>
          <c:showVal val="0"/>
          <c:showCatName val="0"/>
          <c:showSerName val="0"/>
          <c:showPercent val="0"/>
          <c:showBubbleSize val="0"/>
        </c:dLbls>
        <c:gapWidth val="200"/>
        <c:overlap val="-40"/>
        <c:axId val="2066841104"/>
        <c:axId val="2066853616"/>
      </c:barChart>
      <c:valAx>
        <c:axId val="2066853616"/>
        <c:scaling>
          <c:orientation val="minMax"/>
        </c:scaling>
        <c:delete val="1"/>
        <c:axPos val="t"/>
        <c:numFmt formatCode="&quot;$&quot;#,##0.00" sourceLinked="1"/>
        <c:majorTickMark val="out"/>
        <c:minorTickMark val="none"/>
        <c:tickLblPos val="nextTo"/>
        <c:crossAx val="2066841104"/>
        <c:crosses val="autoZero"/>
        <c:crossBetween val="between"/>
      </c:valAx>
      <c:catAx>
        <c:axId val="2066841104"/>
        <c:scaling>
          <c:orientation val="maxMin"/>
        </c:scaling>
        <c:delete val="0"/>
        <c:axPos val="l"/>
        <c:numFmt formatCode="General" sourceLinked="1"/>
        <c:majorTickMark val="out"/>
        <c:minorTickMark val="none"/>
        <c:tickLblPos val="nextTo"/>
        <c:crossAx val="2066853616"/>
        <c:crosses val="autoZero"/>
        <c:auto val="1"/>
        <c:lblAlgn val="ctr"/>
        <c:lblOffset val="100"/>
        <c:noMultiLvlLbl val="0"/>
      </c:cat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595959"/>
                </a:solidFill>
                <a:latin typeface="+mn-lt"/>
                <a:ea typeface="+mn-ea"/>
                <a:cs typeface="+mn-cs"/>
              </a:defRPr>
            </a:pPr>
            <a:r>
              <a:rPr lang="en-CA" sz="1400" b="1" i="0">
                <a:effectLst/>
              </a:rPr>
              <a:t>Where your money goes</a:t>
            </a:r>
          </a:p>
        </c:rich>
      </c:tx>
      <c:layout>
        <c:manualLayout>
          <c:xMode val="edge"/>
          <c:yMode val="edge"/>
          <c:x val="0.3714731257855915"/>
          <c:y val="0"/>
        </c:manualLayout>
      </c:layout>
      <c:overlay val="0"/>
    </c:title>
    <c:autoTitleDeleted val="0"/>
    <c:plotArea>
      <c:layout>
        <c:manualLayout>
          <c:layoutTarget val="inner"/>
          <c:xMode val="edge"/>
          <c:yMode val="edge"/>
          <c:x val="0.14754448580956669"/>
          <c:y val="0.13772504788252821"/>
          <c:w val="0.43705392474476257"/>
          <c:h val="0.70578302712160979"/>
        </c:manualLayout>
      </c:layout>
      <c:pieChart>
        <c:varyColors val="1"/>
        <c:ser>
          <c:idx val="1"/>
          <c:order val="0"/>
          <c:tx>
            <c:v>Expenses</c:v>
          </c:tx>
          <c:spPr>
            <a:ln>
              <a:noFill/>
            </a:ln>
          </c:spPr>
          <c:dPt>
            <c:idx val="0"/>
            <c:bubble3D val="0"/>
            <c:spPr>
              <a:solidFill>
                <a:srgbClr val="145B7F"/>
              </a:solidFill>
              <a:ln>
                <a:noFill/>
              </a:ln>
            </c:spPr>
            <c:extLst>
              <c:ext xmlns:c16="http://schemas.microsoft.com/office/drawing/2014/chart" uri="{C3380CC4-5D6E-409C-BE32-E72D297353CC}">
                <c16:uniqueId val="{00000001-889D-4C35-AA87-4885FC6566C5}"/>
              </c:ext>
            </c:extLst>
          </c:dPt>
          <c:dPt>
            <c:idx val="1"/>
            <c:bubble3D val="0"/>
            <c:spPr>
              <a:solidFill>
                <a:srgbClr val="FD7006"/>
              </a:solidFill>
              <a:ln>
                <a:noFill/>
              </a:ln>
            </c:spPr>
            <c:extLst>
              <c:ext xmlns:c16="http://schemas.microsoft.com/office/drawing/2014/chart" uri="{C3380CC4-5D6E-409C-BE32-E72D297353CC}">
                <c16:uniqueId val="{00000003-889D-4C35-AA87-4885FC6566C5}"/>
              </c:ext>
            </c:extLst>
          </c:dPt>
          <c:dPt>
            <c:idx val="2"/>
            <c:bubble3D val="0"/>
            <c:spPr>
              <a:solidFill>
                <a:srgbClr val="FF9A00"/>
              </a:solidFill>
              <a:ln>
                <a:noFill/>
              </a:ln>
            </c:spPr>
            <c:extLst>
              <c:ext xmlns:c16="http://schemas.microsoft.com/office/drawing/2014/chart" uri="{C3380CC4-5D6E-409C-BE32-E72D297353CC}">
                <c16:uniqueId val="{00000005-889D-4C35-AA87-4885FC6566C5}"/>
              </c:ext>
            </c:extLst>
          </c:dPt>
          <c:dPt>
            <c:idx val="3"/>
            <c:bubble3D val="0"/>
            <c:spPr>
              <a:solidFill>
                <a:srgbClr val="FFC100"/>
              </a:solidFill>
              <a:ln>
                <a:noFill/>
              </a:ln>
            </c:spPr>
            <c:extLst>
              <c:ext xmlns:c16="http://schemas.microsoft.com/office/drawing/2014/chart" uri="{C3380CC4-5D6E-409C-BE32-E72D297353CC}">
                <c16:uniqueId val="{00000007-889D-4C35-AA87-4885FC6566C5}"/>
              </c:ext>
            </c:extLst>
          </c:dPt>
          <c:dPt>
            <c:idx val="4"/>
            <c:bubble3D val="0"/>
            <c:spPr>
              <a:solidFill>
                <a:srgbClr val="FFE302"/>
              </a:solidFill>
              <a:ln>
                <a:noFill/>
              </a:ln>
            </c:spPr>
            <c:extLst>
              <c:ext xmlns:c16="http://schemas.microsoft.com/office/drawing/2014/chart" uri="{C3380CC4-5D6E-409C-BE32-E72D297353CC}">
                <c16:uniqueId val="{00000009-889D-4C35-AA87-4885FC6566C5}"/>
              </c:ext>
            </c:extLst>
          </c:dPt>
          <c:dPt>
            <c:idx val="5"/>
            <c:bubble3D val="0"/>
            <c:spPr>
              <a:solidFill>
                <a:srgbClr val="BFDF0B"/>
              </a:solidFill>
              <a:ln>
                <a:noFill/>
              </a:ln>
            </c:spPr>
            <c:extLst>
              <c:ext xmlns:c16="http://schemas.microsoft.com/office/drawing/2014/chart" uri="{C3380CC4-5D6E-409C-BE32-E72D297353CC}">
                <c16:uniqueId val="{0000000B-889D-4C35-AA87-4885FC6566C5}"/>
              </c:ext>
            </c:extLst>
          </c:dPt>
          <c:dPt>
            <c:idx val="6"/>
            <c:bubble3D val="0"/>
            <c:spPr>
              <a:solidFill>
                <a:srgbClr val="7FBA00"/>
              </a:solidFill>
              <a:ln>
                <a:noFill/>
              </a:ln>
            </c:spPr>
            <c:extLst>
              <c:ext xmlns:c16="http://schemas.microsoft.com/office/drawing/2014/chart" uri="{C3380CC4-5D6E-409C-BE32-E72D297353CC}">
                <c16:uniqueId val="{0000000D-889D-4C35-AA87-4885FC6566C5}"/>
              </c:ext>
            </c:extLst>
          </c:dPt>
          <c:dPt>
            <c:idx val="7"/>
            <c:bubble3D val="0"/>
            <c:spPr>
              <a:solidFill>
                <a:srgbClr val="009E98"/>
              </a:solidFill>
              <a:ln>
                <a:noFill/>
              </a:ln>
            </c:spPr>
            <c:extLst>
              <c:ext xmlns:c16="http://schemas.microsoft.com/office/drawing/2014/chart" uri="{C3380CC4-5D6E-409C-BE32-E72D297353CC}">
                <c16:uniqueId val="{0000000F-889D-4C35-AA87-4885FC6566C5}"/>
              </c:ext>
            </c:extLst>
          </c:dPt>
          <c:dPt>
            <c:idx val="8"/>
            <c:bubble3D val="0"/>
            <c:spPr>
              <a:solidFill>
                <a:srgbClr val="00B9B9"/>
              </a:solidFill>
              <a:ln>
                <a:noFill/>
              </a:ln>
            </c:spPr>
            <c:extLst>
              <c:ext xmlns:c16="http://schemas.microsoft.com/office/drawing/2014/chart" uri="{C3380CC4-5D6E-409C-BE32-E72D297353CC}">
                <c16:uniqueId val="{00000011-889D-4C35-AA87-4885FC6566C5}"/>
              </c:ext>
            </c:extLst>
          </c:dPt>
          <c:dPt>
            <c:idx val="9"/>
            <c:bubble3D val="0"/>
            <c:spPr>
              <a:solidFill>
                <a:srgbClr val="01A3D1"/>
              </a:solidFill>
              <a:ln>
                <a:noFill/>
              </a:ln>
            </c:spPr>
            <c:extLst>
              <c:ext xmlns:c16="http://schemas.microsoft.com/office/drawing/2014/chart" uri="{C3380CC4-5D6E-409C-BE32-E72D297353CC}">
                <c16:uniqueId val="{00000013-889D-4C35-AA87-4885FC6566C5}"/>
              </c:ext>
            </c:extLst>
          </c:dPt>
          <c:dPt>
            <c:idx val="10"/>
            <c:bubble3D val="0"/>
            <c:spPr>
              <a:solidFill>
                <a:srgbClr val="0283C8"/>
              </a:solidFill>
              <a:ln>
                <a:noFill/>
              </a:ln>
            </c:spPr>
            <c:extLst>
              <c:ext xmlns:c16="http://schemas.microsoft.com/office/drawing/2014/chart" uri="{C3380CC4-5D6E-409C-BE32-E72D297353CC}">
                <c16:uniqueId val="{00000015-889D-4C35-AA87-4885FC6566C5}"/>
              </c:ext>
            </c:extLst>
          </c:dPt>
          <c:dPt>
            <c:idx val="11"/>
            <c:bubble3D val="0"/>
            <c:spPr>
              <a:solidFill>
                <a:srgbClr val="5C70C9"/>
              </a:solidFill>
              <a:ln>
                <a:noFill/>
              </a:ln>
            </c:spPr>
            <c:extLst>
              <c:ext xmlns:c16="http://schemas.microsoft.com/office/drawing/2014/chart" uri="{C3380CC4-5D6E-409C-BE32-E72D297353CC}">
                <c16:uniqueId val="{00000017-889D-4C35-AA87-4885FC6566C5}"/>
              </c:ext>
            </c:extLst>
          </c:dPt>
          <c:dPt>
            <c:idx val="12"/>
            <c:bubble3D val="0"/>
            <c:spPr>
              <a:solidFill>
                <a:srgbClr val="9457EB"/>
              </a:solidFill>
              <a:ln>
                <a:noFill/>
              </a:ln>
            </c:spPr>
            <c:extLst>
              <c:ext xmlns:c16="http://schemas.microsoft.com/office/drawing/2014/chart" uri="{C3380CC4-5D6E-409C-BE32-E72D297353CC}">
                <c16:uniqueId val="{00000019-889D-4C35-AA87-4885FC6566C5}"/>
              </c:ext>
            </c:extLst>
          </c:dPt>
          <c:dPt>
            <c:idx val="13"/>
            <c:bubble3D val="0"/>
            <c:spPr>
              <a:solidFill>
                <a:srgbClr val="BF39F9"/>
              </a:solidFill>
              <a:ln>
                <a:noFill/>
              </a:ln>
            </c:spPr>
            <c:extLst>
              <c:ext xmlns:c16="http://schemas.microsoft.com/office/drawing/2014/chart" uri="{C3380CC4-5D6E-409C-BE32-E72D297353CC}">
                <c16:uniqueId val="{0000001B-889D-4C35-AA87-4885FC6566C5}"/>
              </c:ext>
            </c:extLst>
          </c:dPt>
          <c:dPt>
            <c:idx val="14"/>
            <c:bubble3D val="0"/>
            <c:spPr>
              <a:solidFill>
                <a:srgbClr val="D930E5"/>
              </a:solidFill>
              <a:ln>
                <a:noFill/>
              </a:ln>
            </c:spPr>
            <c:extLst>
              <c:ext xmlns:c16="http://schemas.microsoft.com/office/drawing/2014/chart" uri="{C3380CC4-5D6E-409C-BE32-E72D297353CC}">
                <c16:uniqueId val="{0000001D-889D-4C35-AA87-4885FC6566C5}"/>
              </c:ext>
            </c:extLst>
          </c:dPt>
          <c:dPt>
            <c:idx val="15"/>
            <c:bubble3D val="0"/>
            <c:spPr>
              <a:solidFill>
                <a:srgbClr val="E14FE4"/>
              </a:solidFill>
              <a:ln>
                <a:noFill/>
              </a:ln>
            </c:spPr>
            <c:extLst>
              <c:ext xmlns:c16="http://schemas.microsoft.com/office/drawing/2014/chart" uri="{C3380CC4-5D6E-409C-BE32-E72D297353CC}">
                <c16:uniqueId val="{0000001F-889D-4C35-AA87-4885FC6566C5}"/>
              </c:ext>
            </c:extLst>
          </c:dPt>
          <c:cat>
            <c:multiLvlStrRef>
              <c:f>'Chart Data'!$D$3:$D$18</c:f>
            </c:multiLvlStrRef>
          </c:cat>
          <c:val>
            <c:numRef>
              <c:f>'Chart Data'!$B$3:$B$18</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0-889D-4C35-AA87-4885FC6566C5}"/>
            </c:ext>
          </c:extLst>
        </c:ser>
        <c:dLbls>
          <c:showLegendKey val="0"/>
          <c:showVal val="0"/>
          <c:showCatName val="0"/>
          <c:showSerName val="0"/>
          <c:showPercent val="0"/>
          <c:showBubbleSize val="0"/>
          <c:showLeaderLines val="1"/>
        </c:dLbls>
        <c:firstSliceAng val="0"/>
      </c:pieChart>
    </c:plotArea>
    <c:legend>
      <c:legendPos val="tr"/>
      <c:layout>
        <c:manualLayout>
          <c:xMode val="edge"/>
          <c:yMode val="edge"/>
          <c:x val="0.6839518700329823"/>
          <c:y val="0.11438438438438442"/>
          <c:w val="0.28257532661973739"/>
          <c:h val="0.8145456480102149"/>
        </c:manualLayout>
      </c:layout>
      <c:overlay val="0"/>
      <c:txPr>
        <a:bodyPr/>
        <a:lstStyle/>
        <a:p>
          <a:pPr rtl="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pmfinancial.ca/" TargetMode="External"/></Relationships>
</file>

<file path=xl/drawings/drawing1.xml><?xml version="1.0" encoding="utf-8"?>
<xdr:wsDr xmlns:xdr="http://schemas.openxmlformats.org/drawingml/2006/spreadsheetDrawing" xmlns:a="http://schemas.openxmlformats.org/drawingml/2006/main">
  <xdr:twoCellAnchor editAs="absolute">
    <xdr:from>
      <xdr:col>5</xdr:col>
      <xdr:colOff>1238250</xdr:colOff>
      <xdr:row>13</xdr:row>
      <xdr:rowOff>0</xdr:rowOff>
    </xdr:from>
    <xdr:to>
      <xdr:col>8</xdr:col>
      <xdr:colOff>752475</xdr:colOff>
      <xdr:row>34</xdr:row>
      <xdr:rowOff>123825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1133475</xdr:colOff>
      <xdr:row>48</xdr:row>
      <xdr:rowOff>104775</xdr:rowOff>
    </xdr:from>
    <xdr:to>
      <xdr:col>14</xdr:col>
      <xdr:colOff>447675</xdr:colOff>
      <xdr:row>80</xdr:row>
      <xdr:rowOff>104775</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666749</xdr:colOff>
      <xdr:row>12</xdr:row>
      <xdr:rowOff>114300</xdr:rowOff>
    </xdr:from>
    <xdr:to>
      <xdr:col>14</xdr:col>
      <xdr:colOff>619124</xdr:colOff>
      <xdr:row>44</xdr:row>
      <xdr:rowOff>28575</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190500</xdr:colOff>
      <xdr:row>0</xdr:row>
      <xdr:rowOff>76200</xdr:rowOff>
    </xdr:from>
    <xdr:to>
      <xdr:col>2</xdr:col>
      <xdr:colOff>2129401</xdr:colOff>
      <xdr:row>1</xdr:row>
      <xdr:rowOff>161925</xdr:rowOff>
    </xdr:to>
    <xdr:pic>
      <xdr:nvPicPr>
        <xdr:cNvPr id="8" name="Picture 7">
          <a:hlinkClick xmlns:r="http://schemas.openxmlformats.org/officeDocument/2006/relationships" r:id="rId4"/>
          <a:extLst>
            <a:ext uri="{FF2B5EF4-FFF2-40B4-BE49-F238E27FC236}">
              <a16:creationId xmlns:a16="http://schemas.microsoft.com/office/drawing/2014/main" id="{7F1E1DBA-5C6B-4BA2-83F2-55EDBE9D54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76200"/>
          <a:ext cx="1938901" cy="5810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come" displayName="tblIncome" ref="A11:E34" headerRowDxfId="321" dataDxfId="319" totalsRowDxfId="317" headerRowBorderDxfId="320" tableBorderDxfId="318">
  <autoFilter ref="A11:E34" xr:uid="{00000000-0009-0000-0100-000001000000}"/>
  <tableColumns count="5">
    <tableColumn id="6" xr3:uid="{00000000-0010-0000-0000-000006000000}" name="Code Value" dataDxfId="316" totalsRowDxfId="315"/>
    <tableColumn id="7" xr3:uid="{00000000-0010-0000-0000-000007000000}" name="Annual Total" dataDxfId="314" totalsRowDxfId="313">
      <calculatedColumnFormula>IFERROR(ROUND(tblIncome[[#This Row],[Amount]],2)*VLOOKUP(tblIncome[[#This Row],[Period]],Periods,2,0),"")</calculatedColumnFormula>
    </tableColumn>
    <tableColumn id="1" xr3:uid="{00000000-0010-0000-0000-000001000000}" name="Item" totalsRowLabel="Total" dataDxfId="312" totalsRowDxfId="311"/>
    <tableColumn id="2" xr3:uid="{00000000-0010-0000-0000-000002000000}" name="Amount" totalsRowFunction="custom" dataDxfId="310" totalsRowDxfId="309">
      <totalsRowFormula>ROUND(SUM(tblIncome[Annual Total])/VLOOKUP(D5,TotalPeriods[],2,0),2)</totalsRowFormula>
    </tableColumn>
    <tableColumn id="3" xr3:uid="{00000000-0010-0000-0000-000003000000}" name="Period" dataDxfId="308" totalsRowDxfId="307"/>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blEducation" displayName="tblEducation" ref="A189:E203" headerRowDxfId="186" dataDxfId="184" totalsRowDxfId="182" headerRowBorderDxfId="185" tableBorderDxfId="183">
  <autoFilter ref="A189:E203" xr:uid="{00000000-0009-0000-0100-00000C000000}"/>
  <tableColumns count="5">
    <tableColumn id="6" xr3:uid="{00000000-0010-0000-0900-000006000000}" name="Code Value" dataDxfId="181" totalsRowDxfId="180"/>
    <tableColumn id="7" xr3:uid="{00000000-0010-0000-0900-000007000000}" name="Annual Total" dataDxfId="179" totalsRowDxfId="178">
      <calculatedColumnFormula>IFERROR(ROUND(tblEducation[[#This Row],[Amount]],2)*VLOOKUP(tblEducation[[#This Row],[Period]],Periods,2,0),"")</calculatedColumnFormula>
    </tableColumn>
    <tableColumn id="1" xr3:uid="{00000000-0010-0000-0900-000001000000}" name="Item" totalsRowLabel="Total" dataDxfId="177" totalsRowDxfId="176"/>
    <tableColumn id="2" xr3:uid="{00000000-0010-0000-0900-000002000000}" name="Amount" totalsRowFunction="custom" dataDxfId="175" totalsRowDxfId="174">
      <totalsRowFormula>ROUND(SUM(tblEducation[Annual Total])/VLOOKUP(D5,TotalPeriods[],2,0),2)</totalsRowFormula>
    </tableColumn>
    <tableColumn id="3" xr3:uid="{00000000-0010-0000-0900-000003000000}" name="Period" dataDxfId="173" totalsRowDxfId="172"/>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blRecreation" displayName="tblRecreation" ref="A205:E224" headerRowDxfId="171" dataDxfId="169" totalsRowDxfId="167" headerRowBorderDxfId="170" tableBorderDxfId="168">
  <autoFilter ref="A205:E224" xr:uid="{00000000-0009-0000-0100-00000D000000}"/>
  <tableColumns count="5">
    <tableColumn id="6" xr3:uid="{00000000-0010-0000-0A00-000006000000}" name="Code Value" dataDxfId="166" totalsRowDxfId="165"/>
    <tableColumn id="7" xr3:uid="{00000000-0010-0000-0A00-000007000000}" name="Annual Total" dataDxfId="164" totalsRowDxfId="163">
      <calculatedColumnFormula>IFERROR(ROUND(tblRecreation[[#This Row],[Amount]],2)*VLOOKUP(tblRecreation[[#This Row],[Period]],Periods,2,0),"")</calculatedColumnFormula>
    </tableColumn>
    <tableColumn id="1" xr3:uid="{00000000-0010-0000-0A00-000001000000}" name="Item" totalsRowLabel="Total" dataDxfId="162" totalsRowDxfId="161"/>
    <tableColumn id="2" xr3:uid="{00000000-0010-0000-0A00-000002000000}" name="Amount" totalsRowFunction="custom" dataDxfId="160" totalsRowDxfId="159">
      <totalsRowFormula>ROUND(SUM(tblRecreation[Annual Total])/VLOOKUP(D5,TotalPeriods[],2,0),2)</totalsRowFormula>
    </tableColumn>
    <tableColumn id="3" xr3:uid="{00000000-0010-0000-0A00-000003000000}" name="Period" dataDxfId="158" totalsRowDxfId="157"/>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blPersonalCare" displayName="tblPersonalCare" ref="A226:E240" headerRowDxfId="156" dataDxfId="154" totalsRowDxfId="152" headerRowBorderDxfId="155" tableBorderDxfId="153">
  <autoFilter ref="A226:E240" xr:uid="{00000000-0009-0000-0100-00000E000000}"/>
  <tableColumns count="5">
    <tableColumn id="6" xr3:uid="{00000000-0010-0000-0B00-000006000000}" name="Code Value" dataDxfId="151" totalsRowDxfId="150"/>
    <tableColumn id="7" xr3:uid="{00000000-0010-0000-0B00-000007000000}" name="Annual Total" dataDxfId="149" totalsRowDxfId="148">
      <calculatedColumnFormula>IFERROR(ROUND(tblPersonalCare[[#This Row],[Amount]],2)*VLOOKUP(tblPersonalCare[[#This Row],[Period]],Periods,2,0),"")</calculatedColumnFormula>
    </tableColumn>
    <tableColumn id="1" xr3:uid="{00000000-0010-0000-0B00-000001000000}" name="Item" totalsRowLabel="Total" dataDxfId="147" totalsRowDxfId="146"/>
    <tableColumn id="2" xr3:uid="{00000000-0010-0000-0B00-000002000000}" name="Amount" totalsRowFunction="custom" dataDxfId="145" totalsRowDxfId="144">
      <totalsRowFormula>ROUND(SUM(tblPersonalCare[Annual Total])/VLOOKUP(D5,TotalPeriods[],2,0),2)</totalsRowFormula>
    </tableColumn>
    <tableColumn id="3" xr3:uid="{00000000-0010-0000-0B00-000003000000}" name="Period" dataDxfId="143" totalsRowDxfId="142"/>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blClothing" displayName="tblClothing" ref="A242:E256" headerRowDxfId="141" dataDxfId="139" totalsRowDxfId="137" headerRowBorderDxfId="140" tableBorderDxfId="138">
  <autoFilter ref="A242:E256" xr:uid="{00000000-0009-0000-0100-00000F000000}"/>
  <tableColumns count="5">
    <tableColumn id="6" xr3:uid="{00000000-0010-0000-0C00-000006000000}" name="Code Value" dataDxfId="136" totalsRowDxfId="135"/>
    <tableColumn id="7" xr3:uid="{00000000-0010-0000-0C00-000007000000}" name="Annual Total" dataDxfId="134" totalsRowDxfId="133">
      <calculatedColumnFormula>IFERROR(ROUND(tblClothing[[#This Row],[Amount]],2)*VLOOKUP(tblClothing[[#This Row],[Period]],Periods,2,0),"")</calculatedColumnFormula>
    </tableColumn>
    <tableColumn id="1" xr3:uid="{00000000-0010-0000-0C00-000001000000}" name="Item" totalsRowLabel="Total" dataDxfId="132" totalsRowDxfId="131"/>
    <tableColumn id="2" xr3:uid="{00000000-0010-0000-0C00-000002000000}" name="Amount" totalsRowFunction="custom" dataDxfId="130" totalsRowDxfId="129">
      <totalsRowFormula>ROUND(SUM(tblClothing[Annual Total])/VLOOKUP(D5,TotalPeriods[],2,0),2)</totalsRowFormula>
    </tableColumn>
    <tableColumn id="3" xr3:uid="{00000000-0010-0000-0C00-000003000000}" name="Period" dataDxfId="128" totalsRowDxfId="127"/>
  </tableColumns>
  <tableStyleInfo name="TableStyleLight1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blMedical" displayName="tblMedical" ref="A258:E272" headerRowDxfId="126" dataDxfId="124" totalsRowDxfId="122" headerRowBorderDxfId="125" tableBorderDxfId="123">
  <autoFilter ref="A258:E272" xr:uid="{00000000-0009-0000-0100-000012000000}"/>
  <tableColumns count="5">
    <tableColumn id="6" xr3:uid="{00000000-0010-0000-0D00-000006000000}" name="Code Value" dataDxfId="121" totalsRowDxfId="120"/>
    <tableColumn id="7" xr3:uid="{00000000-0010-0000-0D00-000007000000}" name="Annual Total" dataDxfId="119" totalsRowDxfId="118">
      <calculatedColumnFormula>IFERROR(ROUND(tblMedical[[#This Row],[Amount]],2)*VLOOKUP(tblMedical[[#This Row],[Period]],Periods,2,0),"")</calculatedColumnFormula>
    </tableColumn>
    <tableColumn id="1" xr3:uid="{00000000-0010-0000-0D00-000001000000}" name="Item" totalsRowLabel="Total" dataDxfId="117" totalsRowDxfId="116"/>
    <tableColumn id="2" xr3:uid="{00000000-0010-0000-0D00-000002000000}" name="Amount" totalsRowFunction="custom" dataDxfId="115" totalsRowDxfId="114">
      <totalsRowFormula>ROUND(SUM(tblMedical[Annual Total])/VLOOKUP(D5,TotalPeriods[],2,0),2)</totalsRowFormula>
    </tableColumn>
    <tableColumn id="3" xr3:uid="{00000000-0010-0000-0D00-000003000000}" name="Period" dataDxfId="113" totalsRowDxfId="112"/>
  </tableColumns>
  <tableStyleInfo name="TableStyleLight1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blPets" displayName="tblPets" ref="A274:E287" headerRowDxfId="111" dataDxfId="109" totalsRowDxfId="107" headerRowBorderDxfId="110" tableBorderDxfId="108">
  <autoFilter ref="A274:E287" xr:uid="{00000000-0009-0000-0100-000013000000}"/>
  <tableColumns count="5">
    <tableColumn id="6" xr3:uid="{00000000-0010-0000-0E00-000006000000}" name="Code Value" dataDxfId="106" totalsRowDxfId="105"/>
    <tableColumn id="7" xr3:uid="{00000000-0010-0000-0E00-000007000000}" name="Annual Total" dataDxfId="104" totalsRowDxfId="103">
      <calculatedColumnFormula>IFERROR(ROUND(tblPets[[#This Row],[Amount]],2)*VLOOKUP(tblPets[[#This Row],[Period]],Periods,2,0),"")</calculatedColumnFormula>
    </tableColumn>
    <tableColumn id="1" xr3:uid="{00000000-0010-0000-0E00-000001000000}" name="Item" totalsRowLabel="Total" dataDxfId="102" totalsRowDxfId="101"/>
    <tableColumn id="2" xr3:uid="{00000000-0010-0000-0E00-000002000000}" name="Amount" totalsRowFunction="custom" dataDxfId="100" totalsRowDxfId="99">
      <totalsRowFormula>ROUND(SUM(tblPets[Annual Total])/VLOOKUP(D5,TotalPeriods[],2,0),2)</totalsRowFormula>
    </tableColumn>
    <tableColumn id="3" xr3:uid="{00000000-0010-0000-0E00-000003000000}" name="Period" dataDxfId="98" totalsRowDxfId="97"/>
  </tableColumns>
  <tableStyleInfo name="TableStyleLight1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blFees" displayName="tblFees" ref="A289:E303" headerRowDxfId="96" dataDxfId="94" totalsRowDxfId="92" headerRowBorderDxfId="95" tableBorderDxfId="93">
  <autoFilter ref="A289:E303" xr:uid="{00000000-0009-0000-0100-000014000000}"/>
  <tableColumns count="5">
    <tableColumn id="6" xr3:uid="{00000000-0010-0000-0F00-000006000000}" name="Code Value" dataDxfId="91" totalsRowDxfId="90"/>
    <tableColumn id="7" xr3:uid="{00000000-0010-0000-0F00-000007000000}" name="Annual Total" dataDxfId="89" totalsRowDxfId="88">
      <calculatedColumnFormula>IFERROR(ROUND(tblFees[[#This Row],[Amount]],2)*VLOOKUP(tblFees[[#This Row],[Period]],Periods,2,0),"")</calculatedColumnFormula>
    </tableColumn>
    <tableColumn id="1" xr3:uid="{00000000-0010-0000-0F00-000001000000}" name="Item" totalsRowLabel="Total" dataDxfId="87" totalsRowDxfId="86"/>
    <tableColumn id="2" xr3:uid="{00000000-0010-0000-0F00-000002000000}" name="Amount" totalsRowFunction="custom" dataDxfId="85" totalsRowDxfId="84">
      <totalsRowFormula>ROUND(SUM(tblFees[Annual Total])/VLOOKUP(D5,TotalPeriods[],2,0),2)</totalsRowFormula>
    </tableColumn>
    <tableColumn id="3" xr3:uid="{00000000-0010-0000-0F00-000003000000}" name="Period" dataDxfId="83" totalsRowDxfId="82"/>
  </tableColumns>
  <tableStyleInfo name="TableStyleLight1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0000000}" name="tblGiftsDonations" displayName="tblGiftsDonations" ref="A305:E318" headerRowDxfId="81" dataDxfId="79" totalsRowDxfId="77" headerRowBorderDxfId="80" tableBorderDxfId="78">
  <autoFilter ref="A305:E318" xr:uid="{00000000-0009-0000-0100-000005000000}"/>
  <tableColumns count="5">
    <tableColumn id="6" xr3:uid="{00000000-0010-0000-1000-000006000000}" name="Code Value" dataDxfId="76" totalsRowDxfId="75"/>
    <tableColumn id="7" xr3:uid="{00000000-0010-0000-1000-000007000000}" name="Annual Total" dataDxfId="74" totalsRowDxfId="73">
      <calculatedColumnFormula>IFERROR(ROUND(tblGiftsDonations[[#This Row],[Amount]],2)*VLOOKUP(tblGiftsDonations[[#This Row],[Period]],Periods,2,0),"")</calculatedColumnFormula>
    </tableColumn>
    <tableColumn id="1" xr3:uid="{00000000-0010-0000-1000-000001000000}" name="Item" totalsRowLabel="Total" dataDxfId="72" totalsRowDxfId="71"/>
    <tableColumn id="2" xr3:uid="{00000000-0010-0000-1000-000002000000}" name="Amount" totalsRowFunction="custom" dataDxfId="70" totalsRowDxfId="69">
      <totalsRowFormula>ROUND(SUM(tblGiftsDonations[Annual Total])/VLOOKUP(D5,TotalPeriods[],2,0),2)</totalsRowFormula>
    </tableColumn>
    <tableColumn id="3" xr3:uid="{00000000-0010-0000-1000-000003000000}" name="Period" dataDxfId="68" totalsRowDxfId="67"/>
  </tableColumns>
  <tableStyleInfo name="TableStyleLight1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TotalPeriods" displayName="TotalPeriods" ref="A11:C15" totalsRowShown="0" headerRowDxfId="66" dataDxfId="64" headerRowBorderDxfId="65" tableBorderDxfId="63" totalsRowBorderDxfId="62">
  <autoFilter ref="A11:C15" xr:uid="{00000000-0009-0000-0100-000003000000}"/>
  <tableColumns count="3">
    <tableColumn id="1" xr3:uid="{00000000-0010-0000-1100-000001000000}" name="Period" dataDxfId="61"/>
    <tableColumn id="2" xr3:uid="{00000000-0010-0000-1100-000002000000}" name="Multiplier" dataDxfId="60"/>
    <tableColumn id="3" xr3:uid="{00000000-0010-0000-1100-000003000000}" name="Per" dataDxfId="59"/>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Savings" displayName="tblSavings" ref="A37:F55" headerRowDxfId="306" dataDxfId="304" totalsRowDxfId="302" headerRowBorderDxfId="305" tableBorderDxfId="303" totalsRowBorderDxfId="301">
  <autoFilter ref="A37:F55" xr:uid="{00000000-0009-0000-0100-000002000000}"/>
  <tableColumns count="6">
    <tableColumn id="6" xr3:uid="{00000000-0010-0000-0100-000006000000}" name="Code Value" dataDxfId="300" totalsRowDxfId="299"/>
    <tableColumn id="8" xr3:uid="{00000000-0010-0000-0100-000008000000}" name="Annual Total" dataDxfId="298" totalsRowDxfId="297">
      <calculatedColumnFormula>IFERROR(ROUND(tblSavings[[#This Row],[Amount]],2)*VLOOKUP(tblSavings[[#This Row],[Period]],Periods,2,0),"")</calculatedColumnFormula>
    </tableColumn>
    <tableColumn id="1" xr3:uid="{00000000-0010-0000-0100-000001000000}" name="Item" totalsRowLabel="Total" dataDxfId="296" totalsRowDxfId="295"/>
    <tableColumn id="2" xr3:uid="{00000000-0010-0000-0100-000002000000}" name="Amount" totalsRowFunction="custom" dataDxfId="294" totalsRowDxfId="293">
      <totalsRowFormula>ROUND(SUM(tblSavings[Annual Total])/VLOOKUP(D5,TotalPeriods[],2,0),2)</totalsRowFormula>
    </tableColumn>
    <tableColumn id="3" xr3:uid="{00000000-0010-0000-0100-000003000000}" name="Period" dataDxfId="292" totalsRowDxfId="291"/>
    <tableColumn id="7" xr3:uid="{00000000-0010-0000-0100-000007000000}" name="Type" dataDxfId="290" totalsRowDxfId="289"/>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Debt" displayName="tblDebt" ref="A59:E74" headerRowDxfId="288" dataDxfId="286" totalsRowDxfId="284" headerRowBorderDxfId="287" tableBorderDxfId="285" totalsRowBorderDxfId="283">
  <autoFilter ref="A59:E74" xr:uid="{00000000-0009-0000-0100-000004000000}"/>
  <tableColumns count="5">
    <tableColumn id="6" xr3:uid="{00000000-0010-0000-0200-000006000000}" name="Code Value" dataDxfId="282" totalsRowDxfId="281"/>
    <tableColumn id="7" xr3:uid="{00000000-0010-0000-0200-000007000000}" name="Annual Total" dataDxfId="280" totalsRowDxfId="279">
      <calculatedColumnFormula>IFERROR(ROUND(tblDebt[[#This Row],[Amount]],2)*VLOOKUP(tblDebt[[#This Row],[Period]],Periods,2,0),"")</calculatedColumnFormula>
    </tableColumn>
    <tableColumn id="1" xr3:uid="{00000000-0010-0000-0200-000001000000}" name="Item" totalsRowLabel="Total" dataDxfId="278" totalsRowDxfId="277"/>
    <tableColumn id="2" xr3:uid="{00000000-0010-0000-0200-000002000000}" name="Amount" totalsRowFunction="custom" dataDxfId="276" totalsRowDxfId="275">
      <totalsRowFormula>ROUND(SUM(tblDebt[Annual Total])/VLOOKUP(D5,TotalPeriods[],2,0),2)</totalsRowFormula>
    </tableColumn>
    <tableColumn id="3" xr3:uid="{00000000-0010-0000-0200-000003000000}" name="Period" dataDxfId="274" totalsRowDxfId="273"/>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Housing" displayName="tblHousing" ref="A76:E100" headerRowDxfId="272" dataDxfId="270" totalsRowDxfId="268" headerRowBorderDxfId="271" tableBorderDxfId="269">
  <autoFilter ref="A76:E100" xr:uid="{00000000-0009-0000-0100-000006000000}"/>
  <tableColumns count="5">
    <tableColumn id="6" xr3:uid="{00000000-0010-0000-0300-000006000000}" name="Code Value" dataDxfId="267" totalsRowDxfId="266"/>
    <tableColumn id="7" xr3:uid="{00000000-0010-0000-0300-000007000000}" name="Annual Total" dataDxfId="265" totalsRowDxfId="264">
      <calculatedColumnFormula>IFERROR(ROUND(tblHousing[[#This Row],[Amount]],2)*VLOOKUP(tblHousing[[#This Row],[Period]],Periods,2,0),"")</calculatedColumnFormula>
    </tableColumn>
    <tableColumn id="1" xr3:uid="{00000000-0010-0000-0300-000001000000}" name="Item" totalsRowLabel="Total" dataDxfId="263" totalsRowDxfId="262"/>
    <tableColumn id="2" xr3:uid="{00000000-0010-0000-0300-000002000000}" name="Amount" totalsRowFunction="custom" dataDxfId="261" totalsRowDxfId="260">
      <totalsRowFormula>ROUND(SUM(tblHousing[Annual Total])/VLOOKUP(D5,TotalPeriods[],2,0),2)</totalsRowFormula>
    </tableColumn>
    <tableColumn id="3" xr3:uid="{00000000-0010-0000-0300-000003000000}" name="Period" dataDxfId="259" totalsRowDxfId="258"/>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Communications" displayName="tblCommunications" ref="A102:E118" headerRowDxfId="257" dataDxfId="255" totalsRowDxfId="253" headerRowBorderDxfId="256" tableBorderDxfId="254">
  <autoFilter ref="A102:E118" xr:uid="{00000000-0009-0000-0100-000007000000}"/>
  <tableColumns count="5">
    <tableColumn id="6" xr3:uid="{00000000-0010-0000-0400-000006000000}" name="Code Value" dataDxfId="252"/>
    <tableColumn id="7" xr3:uid="{00000000-0010-0000-0400-000007000000}" name="Annual Total" dataDxfId="251">
      <calculatedColumnFormula>IFERROR(ROUND(tblCommunications[[#This Row],[Amount]],2)*VLOOKUP(tblCommunications[[#This Row],[Period]],Periods,2,0),"")</calculatedColumnFormula>
    </tableColumn>
    <tableColumn id="1" xr3:uid="{00000000-0010-0000-0400-000001000000}" name="Item" totalsRowLabel="Total" dataDxfId="250"/>
    <tableColumn id="2" xr3:uid="{00000000-0010-0000-0400-000002000000}" name="Amount" totalsRowFunction="custom" dataDxfId="249">
      <totalsRowFormula>ROUND(SUM(tblCommunications[Annual Total])/VLOOKUP(D5,TotalPeriods[],2,0),2)</totalsRowFormula>
    </tableColumn>
    <tableColumn id="3" xr3:uid="{00000000-0010-0000-0400-000003000000}" name="Period" dataDxfId="248"/>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Food" displayName="tblFood" ref="A120:E133" headerRowDxfId="247" dataDxfId="245" totalsRowDxfId="243" headerRowBorderDxfId="246" tableBorderDxfId="244" totalsRowBorderDxfId="242">
  <autoFilter ref="A120:E133" xr:uid="{00000000-0009-0000-0100-000008000000}"/>
  <tableColumns count="5">
    <tableColumn id="6" xr3:uid="{00000000-0010-0000-0500-000006000000}" name="Code Value" dataDxfId="241" totalsRowDxfId="240"/>
    <tableColumn id="7" xr3:uid="{00000000-0010-0000-0500-000007000000}" name="Annual Total" dataDxfId="239" totalsRowDxfId="238">
      <calculatedColumnFormula>IFERROR(ROUND(tblFood[[#This Row],[Amount]],2)*VLOOKUP(tblFood[[#This Row],[Period]],Periods,2,0),"")</calculatedColumnFormula>
    </tableColumn>
    <tableColumn id="1" xr3:uid="{00000000-0010-0000-0500-000001000000}" name="Item" totalsRowLabel="Total" dataDxfId="237" totalsRowDxfId="236"/>
    <tableColumn id="2" xr3:uid="{00000000-0010-0000-0500-000002000000}" name="Amount" totalsRowFunction="custom" dataDxfId="235" totalsRowDxfId="234">
      <totalsRowFormula>ROUND(SUM(tblFood[Annual Total])/VLOOKUP(D5,TotalPeriods[],2,0),2)</totalsRowFormula>
    </tableColumn>
    <tableColumn id="3" xr3:uid="{00000000-0010-0000-0500-000003000000}" name="Period" dataDxfId="233" totalsRowDxfId="232"/>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Insurance" displayName="tblInsurance" ref="A135:E149" headerRowDxfId="231" dataDxfId="229" totalsRowDxfId="227" headerRowBorderDxfId="230" tableBorderDxfId="228">
  <autoFilter ref="A135:E149" xr:uid="{00000000-0009-0000-0100-000009000000}"/>
  <tableColumns count="5">
    <tableColumn id="6" xr3:uid="{00000000-0010-0000-0600-000006000000}" name="Code Value" dataDxfId="226" totalsRowDxfId="225"/>
    <tableColumn id="7" xr3:uid="{00000000-0010-0000-0600-000007000000}" name="Annual Total" dataDxfId="224" totalsRowDxfId="223">
      <calculatedColumnFormula>IFERROR(ROUND(tblInsurance[[#This Row],[Amount]],2)*VLOOKUP(tblInsurance[[#This Row],[Period]],Periods,2,0),"")</calculatedColumnFormula>
    </tableColumn>
    <tableColumn id="1" xr3:uid="{00000000-0010-0000-0600-000001000000}" name="Item" totalsRowLabel="Total" dataDxfId="222" totalsRowDxfId="221"/>
    <tableColumn id="2" xr3:uid="{00000000-0010-0000-0600-000002000000}" name="Amount" totalsRowFunction="custom" dataDxfId="220" totalsRowDxfId="219">
      <totalsRowFormula>ROUND(SUM(tblInsurance[Annual Total])/VLOOKUP(D5,TotalPeriods[],2,0),2)</totalsRowFormula>
    </tableColumn>
    <tableColumn id="3" xr3:uid="{00000000-0010-0000-0600-000003000000}" name="Period" dataDxfId="218" totalsRowDxfId="217"/>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Transportation" displayName="tblTransportation" ref="A151:E170" headerRowDxfId="216" dataDxfId="214" totalsRowDxfId="212" headerRowBorderDxfId="215" tableBorderDxfId="213">
  <autoFilter ref="A151:E170" xr:uid="{00000000-0009-0000-0100-00000A000000}"/>
  <tableColumns count="5">
    <tableColumn id="6" xr3:uid="{00000000-0010-0000-0700-000006000000}" name="Code Value" dataDxfId="211" totalsRowDxfId="210"/>
    <tableColumn id="7" xr3:uid="{00000000-0010-0000-0700-000007000000}" name="Annual Total" dataDxfId="209" totalsRowDxfId="208">
      <calculatedColumnFormula>IFERROR(ROUND(tblTransportation[[#This Row],[Amount]],2)*VLOOKUP(tblTransportation[[#This Row],[Period]],Periods,2,0),"")</calculatedColumnFormula>
    </tableColumn>
    <tableColumn id="1" xr3:uid="{00000000-0010-0000-0700-000001000000}" name="Item" totalsRowLabel="Total" dataDxfId="207" totalsRowDxfId="206"/>
    <tableColumn id="2" xr3:uid="{00000000-0010-0000-0700-000002000000}" name="Amount" totalsRowFunction="custom" dataDxfId="205" totalsRowDxfId="204">
      <totalsRowFormula>D150</totalsRowFormula>
    </tableColumn>
    <tableColumn id="3" xr3:uid="{00000000-0010-0000-0700-000003000000}" name="Period" dataDxfId="203" totalsRowDxfId="202"/>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blChildcare" displayName="tblChildcare" ref="A172:E187" headerRowDxfId="201" dataDxfId="199" totalsRowDxfId="197" headerRowBorderDxfId="200" tableBorderDxfId="198">
  <autoFilter ref="A172:E187" xr:uid="{00000000-0009-0000-0100-00000B000000}"/>
  <tableColumns count="5">
    <tableColumn id="6" xr3:uid="{00000000-0010-0000-0800-000006000000}" name="Code Value" dataDxfId="196" totalsRowDxfId="195"/>
    <tableColumn id="7" xr3:uid="{00000000-0010-0000-0800-000007000000}" name="Annual Total" dataDxfId="194" totalsRowDxfId="193">
      <calculatedColumnFormula>IFERROR(ROUND(tblChildcare[[#This Row],[Amount]],2)*VLOOKUP(tblChildcare[[#This Row],[Period]],Periods,2,0),"")</calculatedColumnFormula>
    </tableColumn>
    <tableColumn id="1" xr3:uid="{00000000-0010-0000-0800-000001000000}" name="Item" totalsRowLabel="Total" dataDxfId="192" totalsRowDxfId="191"/>
    <tableColumn id="2" xr3:uid="{00000000-0010-0000-0800-000002000000}" name="Amount" totalsRowFunction="custom" dataDxfId="190" totalsRowDxfId="189">
      <totalsRowFormula>ROUND(SUM(tblChildcare[Annual Total])/VLOOKUP(D5,TotalPeriods[],2,0),2)</totalsRowFormula>
    </tableColumn>
    <tableColumn id="3" xr3:uid="{00000000-0010-0000-0800-000003000000}" name="Period" dataDxfId="188" totalsRowDxfId="187"/>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1.xml"/><Relationship Id="rId16" Type="http://schemas.openxmlformats.org/officeDocument/2006/relationships/table" Target="../tables/table13.xml"/><Relationship Id="rId20" Type="http://schemas.openxmlformats.org/officeDocument/2006/relationships/table" Target="../tables/table17.xml"/><Relationship Id="rId1" Type="http://schemas.openxmlformats.org/officeDocument/2006/relationships/hyperlink" Target="https://www.canada.ca/en/financial-consumer-agency.html"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Z323"/>
  <sheetViews>
    <sheetView showGridLines="0" tabSelected="1" topLeftCell="C1" zoomScaleNormal="100" workbookViewId="0">
      <pane ySplit="8" topLeftCell="A9" activePane="bottomLeft" state="frozen"/>
      <selection activeCell="C1" sqref="C1"/>
      <selection pane="bottomLeft" activeCell="D12" sqref="D12"/>
    </sheetView>
  </sheetViews>
  <sheetFormatPr defaultRowHeight="14.25" x14ac:dyDescent="0.2"/>
  <cols>
    <col min="1" max="1" width="12.140625" style="53" hidden="1" customWidth="1"/>
    <col min="2" max="2" width="9.42578125" style="53" hidden="1" customWidth="1"/>
    <col min="3" max="3" width="35.28515625" style="53" customWidth="1"/>
    <col min="4" max="4" width="19.7109375" style="53" customWidth="1"/>
    <col min="5" max="5" width="22.7109375" style="53" customWidth="1"/>
    <col min="6" max="6" width="24.42578125" style="53" customWidth="1"/>
    <col min="7" max="7" width="22.7109375" style="53" customWidth="1"/>
    <col min="8" max="8" width="19.7109375" style="53" customWidth="1"/>
    <col min="9" max="9" width="22.7109375" style="53" customWidth="1"/>
    <col min="10" max="10" width="19.7109375" style="53" customWidth="1"/>
    <col min="11" max="11" width="22.7109375" style="53" customWidth="1"/>
    <col min="12" max="12" width="19.7109375" style="53" customWidth="1"/>
    <col min="13" max="13" width="9.140625" style="53" customWidth="1"/>
    <col min="14" max="14" width="9.140625" style="60"/>
    <col min="15" max="15" width="9.5703125" style="61" customWidth="1"/>
    <col min="16" max="24" width="9.7109375" style="51" customWidth="1"/>
    <col min="25" max="25" width="0.140625" style="52" customWidth="1"/>
    <col min="26" max="26" width="0.140625" style="51" customWidth="1"/>
    <col min="27" max="27" width="9.140625" style="53" customWidth="1"/>
    <col min="28" max="16384" width="9.140625" style="53"/>
  </cols>
  <sheetData>
    <row r="1" spans="1:26" ht="39" customHeight="1" x14ac:dyDescent="0.25">
      <c r="A1" s="49" t="s">
        <v>198</v>
      </c>
      <c r="B1" s="50" t="s">
        <v>199</v>
      </c>
      <c r="C1" s="128" t="s">
        <v>200</v>
      </c>
      <c r="D1" s="128"/>
      <c r="E1" s="128"/>
      <c r="F1" s="128"/>
      <c r="G1" s="128"/>
      <c r="H1" s="128"/>
      <c r="I1" s="128"/>
      <c r="J1" s="128"/>
      <c r="K1" s="128"/>
      <c r="L1" s="128"/>
      <c r="M1" s="128"/>
      <c r="N1" s="128"/>
      <c r="O1" s="129"/>
      <c r="Y1" s="52" t="s">
        <v>201</v>
      </c>
    </row>
    <row r="2" spans="1:26" ht="21.75" customHeight="1" x14ac:dyDescent="0.25">
      <c r="A2" s="122" t="s">
        <v>480</v>
      </c>
      <c r="B2" s="122"/>
      <c r="C2" s="122"/>
      <c r="D2" s="122"/>
      <c r="E2" s="122"/>
      <c r="F2" s="122"/>
      <c r="G2" s="122"/>
      <c r="H2" s="122"/>
      <c r="I2" s="122"/>
      <c r="J2" s="122"/>
      <c r="K2" s="122"/>
      <c r="L2" s="122"/>
      <c r="M2" s="122"/>
      <c r="N2" s="122"/>
      <c r="O2" s="122"/>
      <c r="Y2" s="52" t="s">
        <v>202</v>
      </c>
    </row>
    <row r="3" spans="1:26" ht="15.95" hidden="1" customHeight="1" x14ac:dyDescent="0.25">
      <c r="A3" s="54" t="s">
        <v>203</v>
      </c>
      <c r="B3" s="54">
        <f>SUM(tblIncome[Annual Total])</f>
        <v>0</v>
      </c>
      <c r="C3" s="55" t="s">
        <v>204</v>
      </c>
      <c r="D3" s="56" t="s">
        <v>205</v>
      </c>
      <c r="E3" s="55" t="s">
        <v>206</v>
      </c>
      <c r="F3" s="56" t="s">
        <v>207</v>
      </c>
      <c r="G3" s="55" t="s">
        <v>208</v>
      </c>
      <c r="H3" s="56" t="s">
        <v>209</v>
      </c>
      <c r="I3" s="55" t="s">
        <v>210</v>
      </c>
      <c r="J3" s="56" t="s">
        <v>211</v>
      </c>
      <c r="K3" s="55" t="s">
        <v>212</v>
      </c>
      <c r="L3" s="56" t="s">
        <v>213</v>
      </c>
      <c r="M3" s="56"/>
      <c r="N3" s="56"/>
      <c r="O3" s="57"/>
      <c r="Y3" s="58"/>
    </row>
    <row r="4" spans="1:26" ht="3.75" customHeight="1" x14ac:dyDescent="0.25">
      <c r="A4" s="54"/>
      <c r="B4" s="54"/>
      <c r="C4" s="90"/>
      <c r="D4" s="91"/>
      <c r="E4" s="90"/>
      <c r="F4" s="91"/>
      <c r="G4" s="90"/>
      <c r="H4" s="91"/>
      <c r="I4" s="90"/>
      <c r="J4" s="91"/>
      <c r="K4" s="90"/>
      <c r="L4" s="91"/>
      <c r="M4" s="91"/>
      <c r="N4" s="91"/>
      <c r="O4" s="92"/>
      <c r="Y4" s="58"/>
    </row>
    <row r="5" spans="1:26" ht="15.95" customHeight="1" x14ac:dyDescent="0.25">
      <c r="A5" s="54"/>
      <c r="B5" s="54"/>
      <c r="C5" s="90" t="s">
        <v>214</v>
      </c>
      <c r="D5" s="93" t="s">
        <v>215</v>
      </c>
      <c r="E5" s="90" t="s">
        <v>216</v>
      </c>
      <c r="F5" s="94">
        <f>D10</f>
        <v>0</v>
      </c>
      <c r="G5" s="90" t="s">
        <v>217</v>
      </c>
      <c r="H5" s="94">
        <f>D36</f>
        <v>0</v>
      </c>
      <c r="I5" s="90" t="s">
        <v>218</v>
      </c>
      <c r="J5" s="94">
        <f>D57</f>
        <v>0</v>
      </c>
      <c r="K5" s="90" t="s">
        <v>219</v>
      </c>
      <c r="L5" s="94">
        <f>F5-H5-J5</f>
        <v>0</v>
      </c>
      <c r="M5" s="94"/>
      <c r="N5" s="94"/>
      <c r="O5" s="95"/>
      <c r="Y5" s="59"/>
    </row>
    <row r="6" spans="1:26" ht="3.75" customHeight="1" x14ac:dyDescent="0.25">
      <c r="A6" s="54"/>
      <c r="B6" s="54"/>
      <c r="C6" s="90"/>
      <c r="D6" s="93"/>
      <c r="E6" s="90"/>
      <c r="F6" s="94"/>
      <c r="G6" s="90"/>
      <c r="H6" s="94"/>
      <c r="I6" s="90"/>
      <c r="J6" s="94"/>
      <c r="K6" s="90"/>
      <c r="L6" s="94"/>
      <c r="M6" s="94"/>
      <c r="N6" s="94"/>
      <c r="O6" s="95"/>
      <c r="Y6" s="59"/>
    </row>
    <row r="7" spans="1:26" ht="13.5" customHeight="1" x14ac:dyDescent="0.25">
      <c r="A7" s="54"/>
      <c r="B7" s="54"/>
      <c r="C7" s="90"/>
      <c r="D7" s="124" t="str">
        <f>IF(IncomeTotal&gt;0,IF(BalanceTotal&gt;0,Z9,IF(BalanceTotal=0,Z10,IF(BalanceTotal&lt;0,Z11,""))), "")</f>
        <v/>
      </c>
      <c r="E7" s="124"/>
      <c r="F7" s="96" t="str">
        <f>IF(IncomeTotal&gt;0, " You make " &amp; DOLLAR(IncomeTotal,2) &amp; " " &amp; VLOOKUP(D5,TotalPeriods[],3,0)  &amp; " , you spend " &amp; DOLLAR(ExpensesTotal,2) &amp; " and save " &amp; DOLLAR(SavingsTotal,2) &amp; ".","")</f>
        <v/>
      </c>
      <c r="G7" s="97"/>
      <c r="H7" s="97"/>
      <c r="I7" s="97"/>
      <c r="J7" s="97"/>
      <c r="K7" s="98"/>
      <c r="L7" s="99"/>
      <c r="M7" s="94"/>
      <c r="N7" s="94"/>
      <c r="O7" s="95"/>
      <c r="Y7" s="59"/>
    </row>
    <row r="8" spans="1:26" ht="3.75" customHeight="1" x14ac:dyDescent="0.25">
      <c r="A8" s="54"/>
      <c r="B8" s="54"/>
      <c r="C8" s="90"/>
      <c r="D8" s="93"/>
      <c r="E8" s="90"/>
      <c r="F8" s="94"/>
      <c r="G8" s="90"/>
      <c r="H8" s="94"/>
      <c r="I8" s="90"/>
      <c r="J8" s="94"/>
      <c r="K8" s="90"/>
      <c r="L8" s="94"/>
      <c r="M8" s="94"/>
      <c r="N8" s="94"/>
      <c r="O8" s="95"/>
      <c r="Y8" s="59"/>
    </row>
    <row r="9" spans="1:26" ht="15" customHeight="1" x14ac:dyDescent="0.2">
      <c r="Z9" s="51" t="s">
        <v>220</v>
      </c>
    </row>
    <row r="10" spans="1:26" ht="27" customHeight="1" x14ac:dyDescent="0.2">
      <c r="A10" s="62">
        <v>0</v>
      </c>
      <c r="B10" s="62" t="str">
        <f>IF(IncomeTotal=0,"",IncomeTotal)</f>
        <v/>
      </c>
      <c r="C10" s="100" t="s">
        <v>221</v>
      </c>
      <c r="D10" s="100">
        <f>ROUND(SUM(tblIncome[Annual Total])/VLOOKUP(D5,TotalPeriods[],2,0),2)</f>
        <v>0</v>
      </c>
      <c r="E10" s="101">
        <f>D10</f>
        <v>0</v>
      </c>
      <c r="F10" s="123" t="str">
        <f>IF(D10=0,RulesOfThumb!K2,"")</f>
        <v>Make sure you enter your income</v>
      </c>
      <c r="G10" s="123"/>
      <c r="Z10" s="51" t="s">
        <v>222</v>
      </c>
    </row>
    <row r="11" spans="1:26" ht="15" customHeight="1" x14ac:dyDescent="0.25">
      <c r="A11" s="63" t="s">
        <v>223</v>
      </c>
      <c r="B11" s="63" t="s">
        <v>224</v>
      </c>
      <c r="C11" s="102" t="s">
        <v>225</v>
      </c>
      <c r="D11" s="102" t="s">
        <v>1</v>
      </c>
      <c r="E11" s="102" t="s">
        <v>226</v>
      </c>
      <c r="G11" s="125" t="str">
        <f>IF(IncomeTotal&gt;0,Y11,Y12)</f>
        <v>Enter your income in order to view your graphics.</v>
      </c>
      <c r="H11" s="126"/>
      <c r="I11" s="126"/>
      <c r="J11" s="126"/>
      <c r="K11" s="126"/>
      <c r="L11" s="126"/>
      <c r="M11" s="126"/>
      <c r="N11" s="126"/>
      <c r="O11" s="127"/>
      <c r="Y11" s="52" t="s">
        <v>227</v>
      </c>
      <c r="Z11" s="51" t="s">
        <v>228</v>
      </c>
    </row>
    <row r="12" spans="1:26" ht="15" customHeight="1" x14ac:dyDescent="0.25">
      <c r="A12" s="64" t="s">
        <v>229</v>
      </c>
      <c r="B12" s="64">
        <f>IFERROR(ROUND(tblIncome[[#This Row],[Amount]],2)*VLOOKUP(tblIncome[[#This Row],[Period]],Periods,2,0),"")</f>
        <v>0</v>
      </c>
      <c r="C12" s="64" t="s">
        <v>230</v>
      </c>
      <c r="D12" s="65">
        <v>0</v>
      </c>
      <c r="E12" s="65" t="s">
        <v>231</v>
      </c>
      <c r="G12" s="125"/>
      <c r="H12" s="126"/>
      <c r="I12" s="126"/>
      <c r="J12" s="126"/>
      <c r="K12" s="126"/>
      <c r="L12" s="126"/>
      <c r="M12" s="126"/>
      <c r="N12" s="126"/>
      <c r="O12" s="127"/>
      <c r="Y12" s="52" t="s">
        <v>232</v>
      </c>
    </row>
    <row r="13" spans="1:26" x14ac:dyDescent="0.2">
      <c r="A13" s="64" t="s">
        <v>233</v>
      </c>
      <c r="B13" s="64">
        <f>IFERROR(ROUND(tblIncome[[#This Row],[Amount]],2)*VLOOKUP(tblIncome[[#This Row],[Period]],Periods,2,0),"")</f>
        <v>0</v>
      </c>
      <c r="C13" s="64" t="s">
        <v>234</v>
      </c>
      <c r="D13" s="65">
        <v>0</v>
      </c>
      <c r="E13" s="65" t="s">
        <v>231</v>
      </c>
    </row>
    <row r="14" spans="1:26" hidden="1" x14ac:dyDescent="0.2">
      <c r="A14" s="64" t="s">
        <v>235</v>
      </c>
      <c r="B14" s="64">
        <f>IFERROR(ROUND(tblIncome[[#This Row],[Amount]],2)*VLOOKUP(tblIncome[[#This Row],[Period]],Periods,2,0),"")</f>
        <v>0</v>
      </c>
      <c r="C14" s="64" t="s">
        <v>236</v>
      </c>
      <c r="D14" s="65">
        <v>0</v>
      </c>
      <c r="E14" s="65" t="s">
        <v>231</v>
      </c>
    </row>
    <row r="15" spans="1:26" x14ac:dyDescent="0.2">
      <c r="A15" s="64" t="s">
        <v>237</v>
      </c>
      <c r="B15" s="64">
        <f>IFERROR(ROUND(tblIncome[[#This Row],[Amount]],2)*VLOOKUP(tblIncome[[#This Row],[Period]],Periods,2,0),"")</f>
        <v>0</v>
      </c>
      <c r="C15" s="64" t="s">
        <v>238</v>
      </c>
      <c r="D15" s="65">
        <v>0</v>
      </c>
      <c r="E15" s="65" t="s">
        <v>215</v>
      </c>
    </row>
    <row r="16" spans="1:26" hidden="1" x14ac:dyDescent="0.2">
      <c r="A16" s="64" t="s">
        <v>239</v>
      </c>
      <c r="B16" s="64">
        <f>IFERROR(ROUND(tblIncome[[#This Row],[Amount]],2)*VLOOKUP(tblIncome[[#This Row],[Period]],Periods,2,0),"")</f>
        <v>0</v>
      </c>
      <c r="C16" s="64" t="s">
        <v>240</v>
      </c>
      <c r="D16" s="65">
        <v>0</v>
      </c>
      <c r="E16" s="65" t="s">
        <v>215</v>
      </c>
    </row>
    <row r="17" spans="1:5" hidden="1" x14ac:dyDescent="0.2">
      <c r="A17" s="64" t="s">
        <v>241</v>
      </c>
      <c r="B17" s="64">
        <f>IFERROR(ROUND(tblIncome[[#This Row],[Amount]],2)*VLOOKUP(tblIncome[[#This Row],[Period]],Periods,2,0),"")</f>
        <v>0</v>
      </c>
      <c r="C17" s="64" t="s">
        <v>242</v>
      </c>
      <c r="D17" s="65">
        <v>0</v>
      </c>
      <c r="E17" s="65" t="s">
        <v>215</v>
      </c>
    </row>
    <row r="18" spans="1:5" hidden="1" x14ac:dyDescent="0.2">
      <c r="A18" s="64" t="s">
        <v>243</v>
      </c>
      <c r="B18" s="64">
        <f>IFERROR(ROUND(tblIncome[[#This Row],[Amount]],2)*VLOOKUP(tblIncome[[#This Row],[Period]],Periods,2,0),"")</f>
        <v>0</v>
      </c>
      <c r="C18" s="64" t="s">
        <v>244</v>
      </c>
      <c r="D18" s="65">
        <v>0</v>
      </c>
      <c r="E18" s="65" t="s">
        <v>215</v>
      </c>
    </row>
    <row r="19" spans="1:5" x14ac:dyDescent="0.2">
      <c r="A19" s="64" t="s">
        <v>245</v>
      </c>
      <c r="B19" s="64">
        <f>IFERROR(ROUND(tblIncome[[#This Row],[Amount]],2)*VLOOKUP(tblIncome[[#This Row],[Period]],Periods,2,0),"")</f>
        <v>0</v>
      </c>
      <c r="C19" s="64" t="s">
        <v>246</v>
      </c>
      <c r="D19" s="65">
        <v>0</v>
      </c>
      <c r="E19" s="65" t="s">
        <v>215</v>
      </c>
    </row>
    <row r="20" spans="1:5" hidden="1" x14ac:dyDescent="0.2">
      <c r="A20" s="64" t="s">
        <v>247</v>
      </c>
      <c r="B20" s="64">
        <f>IFERROR(ROUND(tblIncome[[#This Row],[Amount]],2)*VLOOKUP(tblIncome[[#This Row],[Period]],Periods,2,0),"")</f>
        <v>0</v>
      </c>
      <c r="C20" s="64" t="s">
        <v>248</v>
      </c>
      <c r="D20" s="65">
        <v>0</v>
      </c>
      <c r="E20" s="65" t="s">
        <v>215</v>
      </c>
    </row>
    <row r="21" spans="1:5" hidden="1" x14ac:dyDescent="0.2">
      <c r="A21" s="64" t="s">
        <v>249</v>
      </c>
      <c r="B21" s="64">
        <f>IFERROR(ROUND(tblIncome[[#This Row],[Amount]],2)*VLOOKUP(tblIncome[[#This Row],[Period]],Periods,2,0),"")</f>
        <v>0</v>
      </c>
      <c r="C21" s="64" t="s">
        <v>250</v>
      </c>
      <c r="D21" s="65">
        <v>0</v>
      </c>
      <c r="E21" s="65" t="s">
        <v>215</v>
      </c>
    </row>
    <row r="22" spans="1:5" hidden="1" x14ac:dyDescent="0.2">
      <c r="A22" s="64" t="s">
        <v>251</v>
      </c>
      <c r="B22" s="64">
        <f>IFERROR(ROUND(tblIncome[[#This Row],[Amount]],2)*VLOOKUP(tblIncome[[#This Row],[Period]],Periods,2,0),"")</f>
        <v>0</v>
      </c>
      <c r="C22" s="64" t="s">
        <v>252</v>
      </c>
      <c r="D22" s="65">
        <v>0</v>
      </c>
      <c r="E22" s="65" t="s">
        <v>215</v>
      </c>
    </row>
    <row r="23" spans="1:5" hidden="1" x14ac:dyDescent="0.2">
      <c r="A23" s="64" t="s">
        <v>253</v>
      </c>
      <c r="B23" s="64">
        <f>IFERROR(ROUND(tblIncome[[#This Row],[Amount]],2)*VLOOKUP(tblIncome[[#This Row],[Period]],Periods,2,0),"")</f>
        <v>0</v>
      </c>
      <c r="C23" s="64" t="s">
        <v>254</v>
      </c>
      <c r="D23" s="65">
        <v>0</v>
      </c>
      <c r="E23" s="65" t="s">
        <v>215</v>
      </c>
    </row>
    <row r="24" spans="1:5" x14ac:dyDescent="0.2">
      <c r="A24" s="66"/>
      <c r="B24" s="66" t="str">
        <f>IFERROR(ROUND(tblIncome[[#This Row],[Amount]],2)*VLOOKUP(tblIncome[[#This Row],[Period]],Periods,2,0),"")</f>
        <v/>
      </c>
      <c r="C24" s="67" t="s">
        <v>255</v>
      </c>
      <c r="D24" s="68"/>
      <c r="E24" s="68"/>
    </row>
    <row r="25" spans="1:5" x14ac:dyDescent="0.2">
      <c r="A25" s="64"/>
      <c r="B25" s="64">
        <f>IFERROR(ROUND(tblIncome[[#This Row],[Amount]],2)*VLOOKUP(tblIncome[[#This Row],[Period]],Periods,2,0),"")</f>
        <v>0</v>
      </c>
      <c r="C25" s="65" t="s">
        <v>256</v>
      </c>
      <c r="D25" s="65">
        <v>0</v>
      </c>
      <c r="E25" s="65" t="s">
        <v>215</v>
      </c>
    </row>
    <row r="26" spans="1:5" x14ac:dyDescent="0.2">
      <c r="A26" s="64"/>
      <c r="B26" s="64">
        <f>IFERROR(ROUND(tblIncome[[#This Row],[Amount]],2)*VLOOKUP(tblIncome[[#This Row],[Period]],Periods,2,0),"")</f>
        <v>0</v>
      </c>
      <c r="C26" s="65" t="s">
        <v>256</v>
      </c>
      <c r="D26" s="65">
        <v>0</v>
      </c>
      <c r="E26" s="65" t="s">
        <v>215</v>
      </c>
    </row>
    <row r="27" spans="1:5" x14ac:dyDescent="0.2">
      <c r="A27" s="64"/>
      <c r="B27" s="64">
        <f>IFERROR(ROUND(tblIncome[[#This Row],[Amount]],2)*VLOOKUP(tblIncome[[#This Row],[Period]],Periods,2,0),"")</f>
        <v>0</v>
      </c>
      <c r="C27" s="65" t="s">
        <v>256</v>
      </c>
      <c r="D27" s="65">
        <v>0</v>
      </c>
      <c r="E27" s="65" t="s">
        <v>215</v>
      </c>
    </row>
    <row r="28" spans="1:5" x14ac:dyDescent="0.2">
      <c r="A28" s="64"/>
      <c r="B28" s="64">
        <f>IFERROR(ROUND(tblIncome[[#This Row],[Amount]],2)*VLOOKUP(tblIncome[[#This Row],[Period]],Periods,2,0),"")</f>
        <v>0</v>
      </c>
      <c r="C28" s="65" t="s">
        <v>256</v>
      </c>
      <c r="D28" s="65">
        <v>0</v>
      </c>
      <c r="E28" s="65" t="s">
        <v>215</v>
      </c>
    </row>
    <row r="29" spans="1:5" x14ac:dyDescent="0.2">
      <c r="A29" s="64"/>
      <c r="B29" s="64">
        <f>IFERROR(ROUND(tblIncome[[#This Row],[Amount]],2)*VLOOKUP(tblIncome[[#This Row],[Period]],Periods,2,0),"")</f>
        <v>0</v>
      </c>
      <c r="C29" s="65" t="s">
        <v>256</v>
      </c>
      <c r="D29" s="65">
        <v>0</v>
      </c>
      <c r="E29" s="65" t="s">
        <v>215</v>
      </c>
    </row>
    <row r="30" spans="1:5" x14ac:dyDescent="0.2">
      <c r="A30" s="64"/>
      <c r="B30" s="64">
        <f>IFERROR(ROUND(tblIncome[[#This Row],[Amount]],2)*VLOOKUP(tblIncome[[#This Row],[Period]],Periods,2,0),"")</f>
        <v>0</v>
      </c>
      <c r="C30" s="65" t="s">
        <v>256</v>
      </c>
      <c r="D30" s="65">
        <v>0</v>
      </c>
      <c r="E30" s="65" t="s">
        <v>215</v>
      </c>
    </row>
    <row r="31" spans="1:5" x14ac:dyDescent="0.2">
      <c r="A31" s="64"/>
      <c r="B31" s="64">
        <f>IFERROR(ROUND(tblIncome[[#This Row],[Amount]],2)*VLOOKUP(tblIncome[[#This Row],[Period]],Periods,2,0),"")</f>
        <v>0</v>
      </c>
      <c r="C31" s="65" t="s">
        <v>256</v>
      </c>
      <c r="D31" s="65">
        <v>0</v>
      </c>
      <c r="E31" s="65" t="s">
        <v>215</v>
      </c>
    </row>
    <row r="32" spans="1:5" x14ac:dyDescent="0.2">
      <c r="A32" s="64"/>
      <c r="B32" s="64">
        <f>IFERROR(ROUND(tblIncome[[#This Row],[Amount]],2)*VLOOKUP(tblIncome[[#This Row],[Period]],Periods,2,0),"")</f>
        <v>0</v>
      </c>
      <c r="C32" s="65" t="s">
        <v>256</v>
      </c>
      <c r="D32" s="65">
        <v>0</v>
      </c>
      <c r="E32" s="65" t="s">
        <v>215</v>
      </c>
    </row>
    <row r="33" spans="1:25" x14ac:dyDescent="0.2">
      <c r="A33" s="64"/>
      <c r="B33" s="64">
        <f>IFERROR(ROUND(tblIncome[[#This Row],[Amount]],2)*VLOOKUP(tblIncome[[#This Row],[Period]],Periods,2,0),"")</f>
        <v>0</v>
      </c>
      <c r="C33" s="65" t="s">
        <v>256</v>
      </c>
      <c r="D33" s="65">
        <v>0</v>
      </c>
      <c r="E33" s="65" t="s">
        <v>215</v>
      </c>
    </row>
    <row r="34" spans="1:25" x14ac:dyDescent="0.2">
      <c r="A34" s="69"/>
      <c r="B34" s="69">
        <f>IFERROR(ROUND(tblIncome[[#This Row],[Amount]],2)*VLOOKUP(tblIncome[[#This Row],[Period]],Periods,2,0),"")</f>
        <v>0</v>
      </c>
      <c r="C34" s="70" t="s">
        <v>256</v>
      </c>
      <c r="D34" s="65">
        <v>0</v>
      </c>
      <c r="E34" s="70" t="s">
        <v>215</v>
      </c>
    </row>
    <row r="36" spans="1:25" ht="24" customHeight="1" x14ac:dyDescent="0.2">
      <c r="A36" s="71">
        <v>3.7804686271426302E-2</v>
      </c>
      <c r="B36" s="72" t="str">
        <f>DOLLAR(D36, 2) &amp; IF(IncomeTotal &gt; 0, CHAR(10) &amp;"(" &amp; ROUND((D36/ IncomeTotal)  *100,0) &amp; "%)", "")</f>
        <v>$0.00</v>
      </c>
      <c r="C36" s="103" t="s">
        <v>51</v>
      </c>
      <c r="D36" s="103">
        <f>ROUND(SUM(tblSavings[Annual Total])/VLOOKUP(D5,TotalPeriods[],2,0),2)</f>
        <v>0</v>
      </c>
      <c r="E36" s="104"/>
      <c r="F36" s="105" t="str">
        <f>IF(D10&gt;0,IFERROR(D36/D10,0),"")</f>
        <v/>
      </c>
      <c r="G36" s="123" t="str">
        <f>IF(D10&gt;0,IF(F36&gt;0,IF(F36&gt;=RulesOfThumb!C3,RulesOfThumb!B3,IF(AND(F36&gt;0,F36&lt;RulesOfThumb!G3),RulesOfThumb!E3,"")),RulesOfThumb!K3),"")</f>
        <v/>
      </c>
      <c r="H36" s="123"/>
    </row>
    <row r="37" spans="1:25" x14ac:dyDescent="0.2">
      <c r="A37" s="63" t="s">
        <v>223</v>
      </c>
      <c r="B37" s="63" t="s">
        <v>224</v>
      </c>
      <c r="C37" s="102" t="s">
        <v>225</v>
      </c>
      <c r="D37" s="102" t="s">
        <v>1</v>
      </c>
      <c r="E37" s="102" t="s">
        <v>226</v>
      </c>
      <c r="F37" s="102" t="s">
        <v>257</v>
      </c>
    </row>
    <row r="38" spans="1:25" x14ac:dyDescent="0.2">
      <c r="A38" s="64" t="s">
        <v>52</v>
      </c>
      <c r="B38" s="64">
        <f>IFERROR(ROUND(tblSavings[[#This Row],[Amount]],2)*VLOOKUP(tblSavings[[#This Row],[Period]],Periods,2,0),"")</f>
        <v>0</v>
      </c>
      <c r="C38" s="64" t="s">
        <v>55</v>
      </c>
      <c r="D38" s="65">
        <v>0</v>
      </c>
      <c r="E38" s="65" t="s">
        <v>215</v>
      </c>
      <c r="F38" s="65" t="s">
        <v>258</v>
      </c>
    </row>
    <row r="39" spans="1:25" x14ac:dyDescent="0.2">
      <c r="A39" s="64" t="s">
        <v>57</v>
      </c>
      <c r="B39" s="64">
        <f>IFERROR(ROUND(tblSavings[[#This Row],[Amount]],2)*VLOOKUP(tblSavings[[#This Row],[Period]],Periods,2,0),"")</f>
        <v>0</v>
      </c>
      <c r="C39" s="64" t="s">
        <v>259</v>
      </c>
      <c r="D39" s="65">
        <v>0</v>
      </c>
      <c r="E39" s="65" t="s">
        <v>215</v>
      </c>
      <c r="F39" s="65" t="s">
        <v>260</v>
      </c>
    </row>
    <row r="40" spans="1:25" x14ac:dyDescent="0.2">
      <c r="A40" s="64" t="s">
        <v>62</v>
      </c>
      <c r="B40" s="64">
        <f>IFERROR(ROUND(tblSavings[[#This Row],[Amount]],2)*VLOOKUP(tblSavings[[#This Row],[Period]],Periods,2,0),"")</f>
        <v>0</v>
      </c>
      <c r="C40" s="64" t="s">
        <v>62</v>
      </c>
      <c r="D40" s="65">
        <v>0</v>
      </c>
      <c r="E40" s="65" t="s">
        <v>215</v>
      </c>
      <c r="F40" s="65" t="s">
        <v>261</v>
      </c>
    </row>
    <row r="41" spans="1:25" hidden="1" x14ac:dyDescent="0.2">
      <c r="A41" s="64" t="s">
        <v>70</v>
      </c>
      <c r="B41" s="64">
        <f>IFERROR(ROUND(tblSavings[[#This Row],[Amount]],2)*VLOOKUP(tblSavings[[#This Row],[Period]],Periods,2,0),"")</f>
        <v>0</v>
      </c>
      <c r="C41" s="64" t="s">
        <v>262</v>
      </c>
      <c r="D41" s="65">
        <v>0</v>
      </c>
      <c r="E41" s="65" t="s">
        <v>215</v>
      </c>
      <c r="F41" s="65" t="s">
        <v>258</v>
      </c>
    </row>
    <row r="42" spans="1:25" ht="15" customHeight="1" x14ac:dyDescent="0.2">
      <c r="A42" s="64" t="s">
        <v>78</v>
      </c>
      <c r="B42" s="64">
        <f>IFERROR(ROUND(tblSavings[[#This Row],[Amount]],2)*VLOOKUP(tblSavings[[#This Row],[Period]],Periods,2,0),"")</f>
        <v>0</v>
      </c>
      <c r="C42" s="64" t="s">
        <v>263</v>
      </c>
      <c r="D42" s="65">
        <v>0</v>
      </c>
      <c r="E42" s="65" t="s">
        <v>215</v>
      </c>
      <c r="F42" s="65" t="s">
        <v>258</v>
      </c>
    </row>
    <row r="43" spans="1:25" ht="15" customHeight="1" x14ac:dyDescent="0.2">
      <c r="A43" s="64" t="s">
        <v>83</v>
      </c>
      <c r="B43" s="64">
        <f>IFERROR(ROUND(tblSavings[[#This Row],[Amount]],2)*VLOOKUP(tblSavings[[#This Row],[Period]],Periods,2,0),"")</f>
        <v>0</v>
      </c>
      <c r="C43" s="64" t="s">
        <v>264</v>
      </c>
      <c r="D43" s="65">
        <v>0</v>
      </c>
      <c r="E43" s="65" t="s">
        <v>215</v>
      </c>
      <c r="F43" s="65" t="s">
        <v>258</v>
      </c>
      <c r="Y43" s="52" t="s">
        <v>265</v>
      </c>
    </row>
    <row r="44" spans="1:25" ht="15" customHeight="1" x14ac:dyDescent="0.2">
      <c r="A44" s="64" t="s">
        <v>266</v>
      </c>
      <c r="B44" s="64">
        <f>IFERROR(ROUND(tblSavings[[#This Row],[Amount]],2)*VLOOKUP(tblSavings[[#This Row],[Period]],Periods,2,0),"")</f>
        <v>0</v>
      </c>
      <c r="C44" s="64" t="s">
        <v>267</v>
      </c>
      <c r="D44" s="65">
        <v>0</v>
      </c>
      <c r="E44" s="65" t="s">
        <v>268</v>
      </c>
      <c r="F44" s="65" t="s">
        <v>258</v>
      </c>
      <c r="Y44" s="52" t="s">
        <v>269</v>
      </c>
    </row>
    <row r="45" spans="1:25" x14ac:dyDescent="0.2">
      <c r="A45" s="66"/>
      <c r="B45" s="66" t="str">
        <f>IFERROR(ROUND(tblSavings[[#This Row],[Amount]],2)*VLOOKUP(tblSavings[[#This Row],[Period]],Periods,2,0),"")</f>
        <v/>
      </c>
      <c r="C45" s="67" t="s">
        <v>255</v>
      </c>
      <c r="D45" s="68"/>
      <c r="E45" s="68"/>
      <c r="F45" s="68"/>
      <c r="H45" s="51"/>
      <c r="I45" s="51"/>
      <c r="J45" s="51"/>
      <c r="K45" s="51"/>
      <c r="L45" s="51"/>
    </row>
    <row r="46" spans="1:25" ht="15" customHeight="1" x14ac:dyDescent="0.25">
      <c r="A46" s="64"/>
      <c r="B46" s="64">
        <f>IFERROR(ROUND(tblSavings[[#This Row],[Amount]],2)*VLOOKUP(tblSavings[[#This Row],[Period]],Periods,2,0),"")</f>
        <v>0</v>
      </c>
      <c r="C46" s="65" t="s">
        <v>256</v>
      </c>
      <c r="D46" s="65">
        <v>0</v>
      </c>
      <c r="E46" s="65" t="s">
        <v>268</v>
      </c>
      <c r="F46" s="65" t="s">
        <v>258</v>
      </c>
      <c r="I46" s="130" t="str">
        <f>IF(HasPersonalization="True",Budget!Y44,Budget!Y43)</f>
        <v>The suggested average for each item below is based on Canadians in your situation (income range, age, family and housing situation).</v>
      </c>
      <c r="J46" s="131"/>
      <c r="K46" s="131"/>
      <c r="L46" s="131"/>
      <c r="M46" s="131"/>
      <c r="N46" s="131"/>
      <c r="O46" s="132"/>
    </row>
    <row r="47" spans="1:25" x14ac:dyDescent="0.25">
      <c r="A47" s="64"/>
      <c r="B47" s="64">
        <f>IFERROR(ROUND(tblSavings[[#This Row],[Amount]],2)*VLOOKUP(tblSavings[[#This Row],[Period]],Periods,2,0),"")</f>
        <v>0</v>
      </c>
      <c r="C47" s="65" t="s">
        <v>256</v>
      </c>
      <c r="D47" s="65">
        <v>0</v>
      </c>
      <c r="E47" s="65" t="s">
        <v>268</v>
      </c>
      <c r="F47" s="65" t="s">
        <v>258</v>
      </c>
      <c r="I47" s="130"/>
      <c r="J47" s="131"/>
      <c r="K47" s="131"/>
      <c r="L47" s="131"/>
      <c r="M47" s="131"/>
      <c r="N47" s="131"/>
      <c r="O47" s="132"/>
    </row>
    <row r="48" spans="1:25" x14ac:dyDescent="0.2">
      <c r="A48" s="64"/>
      <c r="B48" s="64">
        <f>IFERROR(ROUND(tblSavings[[#This Row],[Amount]],2)*VLOOKUP(tblSavings[[#This Row],[Period]],Periods,2,0),"")</f>
        <v>0</v>
      </c>
      <c r="C48" s="65" t="s">
        <v>256</v>
      </c>
      <c r="D48" s="65">
        <v>0</v>
      </c>
      <c r="E48" s="65" t="s">
        <v>268</v>
      </c>
      <c r="F48" s="65" t="s">
        <v>258</v>
      </c>
    </row>
    <row r="49" spans="1:7" x14ac:dyDescent="0.2">
      <c r="A49" s="64"/>
      <c r="B49" s="64">
        <f>IFERROR(ROUND(tblSavings[[#This Row],[Amount]],2)*VLOOKUP(tblSavings[[#This Row],[Period]],Periods,2,0),"")</f>
        <v>0</v>
      </c>
      <c r="C49" s="65" t="s">
        <v>256</v>
      </c>
      <c r="D49" s="65">
        <v>0</v>
      </c>
      <c r="E49" s="65" t="s">
        <v>268</v>
      </c>
      <c r="F49" s="65" t="s">
        <v>258</v>
      </c>
    </row>
    <row r="50" spans="1:7" x14ac:dyDescent="0.2">
      <c r="A50" s="64"/>
      <c r="B50" s="64">
        <f>IFERROR(ROUND(tblSavings[[#This Row],[Amount]],2)*VLOOKUP(tblSavings[[#This Row],[Period]],Periods,2,0),"")</f>
        <v>0</v>
      </c>
      <c r="C50" s="65" t="s">
        <v>256</v>
      </c>
      <c r="D50" s="65">
        <v>0</v>
      </c>
      <c r="E50" s="65" t="s">
        <v>268</v>
      </c>
      <c r="F50" s="65" t="s">
        <v>258</v>
      </c>
    </row>
    <row r="51" spans="1:7" x14ac:dyDescent="0.2">
      <c r="A51" s="64"/>
      <c r="B51" s="64">
        <f>IFERROR(ROUND(tblSavings[[#This Row],[Amount]],2)*VLOOKUP(tblSavings[[#This Row],[Period]],Periods,2,0),"")</f>
        <v>0</v>
      </c>
      <c r="C51" s="65" t="s">
        <v>256</v>
      </c>
      <c r="D51" s="65">
        <v>0</v>
      </c>
      <c r="E51" s="65" t="s">
        <v>268</v>
      </c>
      <c r="F51" s="65" t="s">
        <v>258</v>
      </c>
    </row>
    <row r="52" spans="1:7" x14ac:dyDescent="0.2">
      <c r="A52" s="64"/>
      <c r="B52" s="64">
        <f>IFERROR(ROUND(tblSavings[[#This Row],[Amount]],2)*VLOOKUP(tblSavings[[#This Row],[Period]],Periods,2,0),"")</f>
        <v>0</v>
      </c>
      <c r="C52" s="65" t="s">
        <v>256</v>
      </c>
      <c r="D52" s="65">
        <v>0</v>
      </c>
      <c r="E52" s="65" t="s">
        <v>268</v>
      </c>
      <c r="F52" s="65" t="s">
        <v>258</v>
      </c>
    </row>
    <row r="53" spans="1:7" x14ac:dyDescent="0.2">
      <c r="A53" s="64"/>
      <c r="B53" s="64">
        <f>IFERROR(ROUND(tblSavings[[#This Row],[Amount]],2)*VLOOKUP(tblSavings[[#This Row],[Period]],Periods,2,0),"")</f>
        <v>0</v>
      </c>
      <c r="C53" s="65" t="s">
        <v>256</v>
      </c>
      <c r="D53" s="65">
        <v>0</v>
      </c>
      <c r="E53" s="65" t="s">
        <v>268</v>
      </c>
      <c r="F53" s="65" t="s">
        <v>258</v>
      </c>
    </row>
    <row r="54" spans="1:7" x14ac:dyDescent="0.2">
      <c r="A54" s="64"/>
      <c r="B54" s="64">
        <f>IFERROR(ROUND(tblSavings[[#This Row],[Amount]],2)*VLOOKUP(tblSavings[[#This Row],[Period]],Periods,2,0),"")</f>
        <v>0</v>
      </c>
      <c r="C54" s="65" t="s">
        <v>256</v>
      </c>
      <c r="D54" s="65">
        <v>0</v>
      </c>
      <c r="E54" s="65" t="s">
        <v>268</v>
      </c>
      <c r="F54" s="65" t="s">
        <v>258</v>
      </c>
    </row>
    <row r="55" spans="1:7" x14ac:dyDescent="0.2">
      <c r="A55" s="69"/>
      <c r="B55" s="69">
        <f>IFERROR(ROUND(tblSavings[[#This Row],[Amount]],2)*VLOOKUP(tblSavings[[#This Row],[Period]],Periods,2,0),"")</f>
        <v>0</v>
      </c>
      <c r="C55" s="70" t="s">
        <v>256</v>
      </c>
      <c r="D55" s="70">
        <v>0</v>
      </c>
      <c r="E55" s="70" t="s">
        <v>215</v>
      </c>
      <c r="F55" s="70" t="s">
        <v>258</v>
      </c>
    </row>
    <row r="57" spans="1:7" ht="27" customHeight="1" x14ac:dyDescent="0.2">
      <c r="A57" s="62"/>
      <c r="B57" s="62" t="str">
        <f>DOLLAR(D57) &amp; IF(IncomeTotal &gt; 0,CHAR(10) &amp;" (" &amp; ROUND((D57/ IncomeTotal)  *100,0) &amp; "%)", "")</f>
        <v>$0.00</v>
      </c>
      <c r="C57" s="100" t="s">
        <v>270</v>
      </c>
      <c r="D57" s="100">
        <f>SUM(TotalDebt,TotalHousing,TotalCommunications,TotalFood,TotalInsurance,TotalTranportation,TotalChildcare,TotalEducation,TotalRecreation,TotalPersonalCare,TotalClothing,TotalMedical,TotalPets,TotalFees,TotalGifts)</f>
        <v>0</v>
      </c>
      <c r="E57" s="106"/>
    </row>
    <row r="58" spans="1:7" ht="27" customHeight="1" x14ac:dyDescent="0.2">
      <c r="A58" s="73">
        <v>0</v>
      </c>
      <c r="B58" s="74"/>
      <c r="C58" s="107" t="s">
        <v>271</v>
      </c>
      <c r="D58" s="107">
        <f>ROUND(SUM(tblDebt[Annual Total])/VLOOKUP(D5,TotalPeriods[],2,0),2)</f>
        <v>0</v>
      </c>
      <c r="E58" s="108">
        <f>IFERROR(D58/D10,0)</f>
        <v>0</v>
      </c>
      <c r="F58" s="123" t="str">
        <f>IF(E58&gt;0,IF(AND(E58&gt;0,E58&lt;=RulesOfThumb!D4),RulesOfThumb!B4,IF(AND(E58&gt;RulesOfThumb!F4,E58&lt;=RulesOfThumb!G4),RulesOfThumb!E4,IF(E58&gt;RulesOfThumb!I4,RulesOfThumb!H4,""))),"")</f>
        <v/>
      </c>
      <c r="G58" s="123"/>
    </row>
    <row r="59" spans="1:7" x14ac:dyDescent="0.2">
      <c r="A59" s="76" t="s">
        <v>223</v>
      </c>
      <c r="B59" s="76" t="s">
        <v>224</v>
      </c>
      <c r="C59" s="102" t="s">
        <v>225</v>
      </c>
      <c r="D59" s="102" t="s">
        <v>1</v>
      </c>
      <c r="E59" s="102" t="s">
        <v>226</v>
      </c>
    </row>
    <row r="60" spans="1:7" x14ac:dyDescent="0.2">
      <c r="A60" s="64" t="s">
        <v>89</v>
      </c>
      <c r="B60" s="64">
        <f>IFERROR(ROUND(tblDebt[[#This Row],[Amount]],2)*VLOOKUP(tblDebt[[#This Row],[Period]],Periods,2,0),"")</f>
        <v>0</v>
      </c>
      <c r="C60" s="64" t="s">
        <v>272</v>
      </c>
      <c r="D60" s="65">
        <v>0</v>
      </c>
      <c r="E60" s="65" t="s">
        <v>215</v>
      </c>
    </row>
    <row r="61" spans="1:7" x14ac:dyDescent="0.2">
      <c r="A61" s="64" t="s">
        <v>94</v>
      </c>
      <c r="B61" s="64">
        <f>IFERROR(ROUND(tblDebt[[#This Row],[Amount]],2)*VLOOKUP(tblDebt[[#This Row],[Period]],Periods,2,0),"")</f>
        <v>0</v>
      </c>
      <c r="C61" s="64" t="s">
        <v>273</v>
      </c>
      <c r="D61" s="65">
        <v>0</v>
      </c>
      <c r="E61" s="65" t="s">
        <v>215</v>
      </c>
    </row>
    <row r="62" spans="1:7" x14ac:dyDescent="0.2">
      <c r="A62" s="64" t="s">
        <v>99</v>
      </c>
      <c r="B62" s="64">
        <f>IFERROR(ROUND(tblDebt[[#This Row],[Amount]],2)*VLOOKUP(tblDebt[[#This Row],[Period]],Periods,2,0),"")</f>
        <v>0</v>
      </c>
      <c r="C62" s="64" t="s">
        <v>274</v>
      </c>
      <c r="D62" s="65">
        <v>0</v>
      </c>
      <c r="E62" s="65" t="s">
        <v>215</v>
      </c>
    </row>
    <row r="63" spans="1:7" x14ac:dyDescent="0.2">
      <c r="A63" s="64" t="s">
        <v>104</v>
      </c>
      <c r="B63" s="64">
        <f>IFERROR(ROUND(tblDebt[[#This Row],[Amount]],2)*VLOOKUP(tblDebt[[#This Row],[Period]],Periods,2,0),"")</f>
        <v>0</v>
      </c>
      <c r="C63" s="64" t="s">
        <v>275</v>
      </c>
      <c r="D63" s="65">
        <v>0</v>
      </c>
      <c r="E63" s="65" t="s">
        <v>215</v>
      </c>
    </row>
    <row r="64" spans="1:7" x14ac:dyDescent="0.2">
      <c r="A64" s="66"/>
      <c r="B64" s="66" t="str">
        <f>IFERROR(ROUND(tblDebt[[#This Row],[Amount]],2)*VLOOKUP(tblDebt[[#This Row],[Period]],Periods,2,0),"")</f>
        <v/>
      </c>
      <c r="C64" s="67" t="s">
        <v>255</v>
      </c>
      <c r="D64" s="68"/>
      <c r="E64" s="68"/>
    </row>
    <row r="65" spans="1:7" x14ac:dyDescent="0.2">
      <c r="A65" s="64"/>
      <c r="B65" s="64">
        <f>IFERROR(ROUND(tblDebt[[#This Row],[Amount]],2)*VLOOKUP(tblDebt[[#This Row],[Period]],Periods,2,0),"")</f>
        <v>0</v>
      </c>
      <c r="C65" s="65" t="s">
        <v>256</v>
      </c>
      <c r="D65" s="65">
        <v>0</v>
      </c>
      <c r="E65" s="65" t="s">
        <v>215</v>
      </c>
    </row>
    <row r="66" spans="1:7" x14ac:dyDescent="0.2">
      <c r="A66" s="64"/>
      <c r="B66" s="64">
        <f>IFERROR(ROUND(tblDebt[[#This Row],[Amount]],2)*VLOOKUP(tblDebt[[#This Row],[Period]],Periods,2,0),"")</f>
        <v>0</v>
      </c>
      <c r="C66" s="65" t="s">
        <v>256</v>
      </c>
      <c r="D66" s="65">
        <v>0</v>
      </c>
      <c r="E66" s="65" t="s">
        <v>215</v>
      </c>
    </row>
    <row r="67" spans="1:7" x14ac:dyDescent="0.2">
      <c r="A67" s="64"/>
      <c r="B67" s="64">
        <f>IFERROR(ROUND(tblDebt[[#This Row],[Amount]],2)*VLOOKUP(tblDebt[[#This Row],[Period]],Periods,2,0),"")</f>
        <v>0</v>
      </c>
      <c r="C67" s="65" t="s">
        <v>256</v>
      </c>
      <c r="D67" s="65">
        <v>0</v>
      </c>
      <c r="E67" s="65" t="s">
        <v>215</v>
      </c>
    </row>
    <row r="68" spans="1:7" x14ac:dyDescent="0.2">
      <c r="A68" s="64"/>
      <c r="B68" s="64">
        <f>IFERROR(ROUND(tblDebt[[#This Row],[Amount]],2)*VLOOKUP(tblDebt[[#This Row],[Period]],Periods,2,0),"")</f>
        <v>0</v>
      </c>
      <c r="C68" s="65" t="s">
        <v>256</v>
      </c>
      <c r="D68" s="65">
        <v>0</v>
      </c>
      <c r="E68" s="65" t="s">
        <v>215</v>
      </c>
    </row>
    <row r="69" spans="1:7" x14ac:dyDescent="0.2">
      <c r="A69" s="64"/>
      <c r="B69" s="64">
        <f>IFERROR(ROUND(tblDebt[[#This Row],[Amount]],2)*VLOOKUP(tblDebt[[#This Row],[Period]],Periods,2,0),"")</f>
        <v>0</v>
      </c>
      <c r="C69" s="65" t="s">
        <v>256</v>
      </c>
      <c r="D69" s="65">
        <v>0</v>
      </c>
      <c r="E69" s="65" t="s">
        <v>215</v>
      </c>
    </row>
    <row r="70" spans="1:7" x14ac:dyDescent="0.2">
      <c r="A70" s="64"/>
      <c r="B70" s="64">
        <f>IFERROR(ROUND(tblDebt[[#This Row],[Amount]],2)*VLOOKUP(tblDebt[[#This Row],[Period]],Periods,2,0),"")</f>
        <v>0</v>
      </c>
      <c r="C70" s="65" t="s">
        <v>256</v>
      </c>
      <c r="D70" s="65">
        <v>0</v>
      </c>
      <c r="E70" s="65" t="s">
        <v>215</v>
      </c>
    </row>
    <row r="71" spans="1:7" x14ac:dyDescent="0.2">
      <c r="A71" s="64"/>
      <c r="B71" s="64">
        <f>IFERROR(ROUND(tblDebt[[#This Row],[Amount]],2)*VLOOKUP(tblDebt[[#This Row],[Period]],Periods,2,0),"")</f>
        <v>0</v>
      </c>
      <c r="C71" s="65" t="s">
        <v>256</v>
      </c>
      <c r="D71" s="65">
        <v>0</v>
      </c>
      <c r="E71" s="65" t="s">
        <v>215</v>
      </c>
    </row>
    <row r="72" spans="1:7" x14ac:dyDescent="0.2">
      <c r="A72" s="64"/>
      <c r="B72" s="64">
        <f>IFERROR(ROUND(tblDebt[[#This Row],[Amount]],2)*VLOOKUP(tblDebt[[#This Row],[Period]],Periods,2,0),"")</f>
        <v>0</v>
      </c>
      <c r="C72" s="65" t="s">
        <v>256</v>
      </c>
      <c r="D72" s="65">
        <v>0</v>
      </c>
      <c r="E72" s="65" t="s">
        <v>215</v>
      </c>
    </row>
    <row r="73" spans="1:7" x14ac:dyDescent="0.2">
      <c r="A73" s="64"/>
      <c r="B73" s="64">
        <f>IFERROR(ROUND(tblDebt[[#This Row],[Amount]],2)*VLOOKUP(tblDebt[[#This Row],[Period]],Periods,2,0),"")</f>
        <v>0</v>
      </c>
      <c r="C73" s="65" t="s">
        <v>256</v>
      </c>
      <c r="D73" s="65">
        <v>0</v>
      </c>
      <c r="E73" s="65" t="s">
        <v>215</v>
      </c>
    </row>
    <row r="74" spans="1:7" x14ac:dyDescent="0.2">
      <c r="A74" s="69"/>
      <c r="B74" s="69">
        <f>IFERROR(ROUND(tblDebt[[#This Row],[Amount]],2)*VLOOKUP(tblDebt[[#This Row],[Period]],Periods,2,0),"")</f>
        <v>0</v>
      </c>
      <c r="C74" s="70" t="s">
        <v>256</v>
      </c>
      <c r="D74" s="70">
        <v>0</v>
      </c>
      <c r="E74" s="70" t="s">
        <v>215</v>
      </c>
    </row>
    <row r="75" spans="1:7" ht="27" customHeight="1" x14ac:dyDescent="0.2">
      <c r="A75" s="73">
        <v>0.30872546952371532</v>
      </c>
      <c r="B75" s="74"/>
      <c r="C75" s="109" t="s">
        <v>109</v>
      </c>
      <c r="D75" s="109">
        <f>ROUND(SUM(tblHousing[Annual Total])/VLOOKUP(D5,TotalPeriods[],2,0),2)</f>
        <v>0</v>
      </c>
      <c r="E75" s="110">
        <f>IFERROR(D75/D10,0)</f>
        <v>0</v>
      </c>
      <c r="F75" s="123" t="str">
        <f>IF(E75&gt;0,IF(AND(E75&gt;0,E75&lt;=RulesOfThumb!D5),RulesOfThumb!B5,IF(AND(E75&gt;RulesOfThumb!F5,E75&lt;=RulesOfThumb!G5),RulesOfThumb!E5,IF(E75&gt;RulesOfThumb!I5,RulesOfThumb!H5,""))),"")</f>
        <v/>
      </c>
      <c r="G75" s="123"/>
    </row>
    <row r="76" spans="1:7" x14ac:dyDescent="0.2">
      <c r="A76" s="76" t="s">
        <v>223</v>
      </c>
      <c r="B76" s="76" t="s">
        <v>224</v>
      </c>
      <c r="C76" s="102" t="s">
        <v>225</v>
      </c>
      <c r="D76" s="102" t="s">
        <v>1</v>
      </c>
      <c r="E76" s="102" t="s">
        <v>226</v>
      </c>
    </row>
    <row r="77" spans="1:7" hidden="1" x14ac:dyDescent="0.2">
      <c r="A77" s="64" t="s">
        <v>276</v>
      </c>
      <c r="B77" s="64">
        <f>IFERROR(ROUND(tblHousing[[#This Row],[Amount]],2)*VLOOKUP(tblHousing[[#This Row],[Period]],Periods,2,0),"")</f>
        <v>0</v>
      </c>
      <c r="C77" s="64" t="s">
        <v>276</v>
      </c>
      <c r="D77" s="65">
        <v>0</v>
      </c>
      <c r="E77" s="65" t="s">
        <v>215</v>
      </c>
    </row>
    <row r="78" spans="1:7" x14ac:dyDescent="0.2">
      <c r="A78" s="64" t="s">
        <v>110</v>
      </c>
      <c r="B78" s="64">
        <f>IFERROR(ROUND(tblHousing[[#This Row],[Amount]],2)*VLOOKUP(tblHousing[[#This Row],[Period]],Periods,2,0),"")</f>
        <v>0</v>
      </c>
      <c r="C78" s="64" t="s">
        <v>277</v>
      </c>
      <c r="D78" s="65">
        <v>0</v>
      </c>
      <c r="E78" s="65" t="s">
        <v>215</v>
      </c>
    </row>
    <row r="79" spans="1:7" x14ac:dyDescent="0.2">
      <c r="A79" s="64" t="s">
        <v>119</v>
      </c>
      <c r="B79" s="64">
        <f>IFERROR(ROUND(tblHousing[[#This Row],[Amount]],2)*VLOOKUP(tblHousing[[#This Row],[Period]],Periods,2,0),"")</f>
        <v>0</v>
      </c>
      <c r="C79" s="64" t="s">
        <v>122</v>
      </c>
      <c r="D79" s="65">
        <v>0</v>
      </c>
      <c r="E79" s="65" t="s">
        <v>215</v>
      </c>
    </row>
    <row r="80" spans="1:7" x14ac:dyDescent="0.2">
      <c r="A80" s="64" t="s">
        <v>278</v>
      </c>
      <c r="B80" s="64">
        <f>IFERROR(ROUND(tblHousing[[#This Row],[Amount]],2)*VLOOKUP(tblHousing[[#This Row],[Period]],Periods,2,0),"")</f>
        <v>0</v>
      </c>
      <c r="C80" s="64" t="s">
        <v>279</v>
      </c>
      <c r="D80" s="65">
        <v>0</v>
      </c>
      <c r="E80" s="65" t="s">
        <v>215</v>
      </c>
    </row>
    <row r="81" spans="1:5" x14ac:dyDescent="0.2">
      <c r="A81" s="64" t="s">
        <v>280</v>
      </c>
      <c r="B81" s="64">
        <f>IFERROR(ROUND(tblHousing[[#This Row],[Amount]],2)*VLOOKUP(tblHousing[[#This Row],[Period]],Periods,2,0),"")</f>
        <v>0</v>
      </c>
      <c r="C81" s="64" t="s">
        <v>281</v>
      </c>
      <c r="D81" s="65">
        <v>0</v>
      </c>
      <c r="E81" s="65" t="s">
        <v>215</v>
      </c>
    </row>
    <row r="82" spans="1:5" hidden="1" x14ac:dyDescent="0.2">
      <c r="A82" s="64" t="s">
        <v>124</v>
      </c>
      <c r="B82" s="64">
        <f>IFERROR(ROUND(tblHousing[[#This Row],[Amount]],2)*VLOOKUP(tblHousing[[#This Row],[Period]],Periods,2,0),"")</f>
        <v>0</v>
      </c>
      <c r="C82" s="64" t="s">
        <v>282</v>
      </c>
      <c r="D82" s="65">
        <v>0</v>
      </c>
      <c r="E82" s="65" t="s">
        <v>215</v>
      </c>
    </row>
    <row r="83" spans="1:5" x14ac:dyDescent="0.2">
      <c r="A83" s="64" t="s">
        <v>129</v>
      </c>
      <c r="B83" s="64">
        <f>IFERROR(ROUND(tblHousing[[#This Row],[Amount]],2)*VLOOKUP(tblHousing[[#This Row],[Period]],Periods,2,0),"")</f>
        <v>0</v>
      </c>
      <c r="C83" s="64" t="s">
        <v>283</v>
      </c>
      <c r="D83" s="65">
        <v>0</v>
      </c>
      <c r="E83" s="65" t="s">
        <v>215</v>
      </c>
    </row>
    <row r="84" spans="1:5" x14ac:dyDescent="0.2">
      <c r="A84" s="64" t="s">
        <v>284</v>
      </c>
      <c r="B84" s="64">
        <f>IFERROR(ROUND(tblHousing[[#This Row],[Amount]],2)*VLOOKUP(tblHousing[[#This Row],[Period]],Periods,2,0),"")</f>
        <v>0</v>
      </c>
      <c r="C84" s="64" t="s">
        <v>285</v>
      </c>
      <c r="D84" s="65">
        <v>0</v>
      </c>
      <c r="E84" s="65" t="s">
        <v>268</v>
      </c>
    </row>
    <row r="85" spans="1:5" x14ac:dyDescent="0.2">
      <c r="A85" s="64" t="s">
        <v>286</v>
      </c>
      <c r="B85" s="64">
        <f>IFERROR(ROUND(tblHousing[[#This Row],[Amount]],2)*VLOOKUP(tblHousing[[#This Row],[Period]],Periods,2,0),"")</f>
        <v>0</v>
      </c>
      <c r="C85" s="64" t="s">
        <v>287</v>
      </c>
      <c r="D85" s="65">
        <v>0</v>
      </c>
      <c r="E85" s="65" t="s">
        <v>268</v>
      </c>
    </row>
    <row r="86" spans="1:5" x14ac:dyDescent="0.2">
      <c r="A86" s="64" t="s">
        <v>288</v>
      </c>
      <c r="B86" s="64">
        <f>IFERROR(ROUND(tblHousing[[#This Row],[Amount]],2)*VLOOKUP(tblHousing[[#This Row],[Period]],Periods,2,0),"")</f>
        <v>0</v>
      </c>
      <c r="C86" s="64" t="s">
        <v>289</v>
      </c>
      <c r="D86" s="65">
        <v>0</v>
      </c>
      <c r="E86" s="65" t="s">
        <v>215</v>
      </c>
    </row>
    <row r="87" spans="1:5" x14ac:dyDescent="0.2">
      <c r="A87" s="64" t="s">
        <v>131</v>
      </c>
      <c r="B87" s="64">
        <f>IFERROR(ROUND(tblHousing[[#This Row],[Amount]],2)*VLOOKUP(tblHousing[[#This Row],[Period]],Periods,2,0),"")</f>
        <v>0</v>
      </c>
      <c r="C87" s="64" t="s">
        <v>131</v>
      </c>
      <c r="D87" s="65">
        <v>0</v>
      </c>
      <c r="E87" s="65" t="s">
        <v>215</v>
      </c>
    </row>
    <row r="88" spans="1:5" x14ac:dyDescent="0.2">
      <c r="A88" s="64" t="s">
        <v>134</v>
      </c>
      <c r="B88" s="64">
        <f>IFERROR(ROUND(tblHousing[[#This Row],[Amount]],2)*VLOOKUP(tblHousing[[#This Row],[Period]],Periods,2,0),"")</f>
        <v>0</v>
      </c>
      <c r="C88" s="64" t="s">
        <v>290</v>
      </c>
      <c r="D88" s="65">
        <v>0</v>
      </c>
      <c r="E88" s="65" t="s">
        <v>215</v>
      </c>
    </row>
    <row r="89" spans="1:5" x14ac:dyDescent="0.2">
      <c r="A89" s="64" t="s">
        <v>137</v>
      </c>
      <c r="B89" s="64">
        <f>IFERROR(ROUND(tblHousing[[#This Row],[Amount]],2)*VLOOKUP(tblHousing[[#This Row],[Period]],Periods,2,0),"")</f>
        <v>0</v>
      </c>
      <c r="C89" s="64" t="s">
        <v>291</v>
      </c>
      <c r="D89" s="65">
        <v>0</v>
      </c>
      <c r="E89" s="65" t="s">
        <v>215</v>
      </c>
    </row>
    <row r="90" spans="1:5" x14ac:dyDescent="0.2">
      <c r="A90" s="66"/>
      <c r="B90" s="66" t="str">
        <f>IFERROR(ROUND(tblHousing[[#This Row],[Amount]],2)*VLOOKUP(tblHousing[[#This Row],[Period]],Periods,2,0),"")</f>
        <v/>
      </c>
      <c r="C90" s="67" t="s">
        <v>255</v>
      </c>
      <c r="D90" s="68"/>
      <c r="E90" s="68"/>
    </row>
    <row r="91" spans="1:5" x14ac:dyDescent="0.2">
      <c r="A91" s="64">
        <v>1</v>
      </c>
      <c r="B91" s="64">
        <f>IFERROR(ROUND(tblHousing[[#This Row],[Amount]],2)*VLOOKUP(tblHousing[[#This Row],[Period]],Periods,2,0),"")</f>
        <v>0</v>
      </c>
      <c r="C91" s="65" t="s">
        <v>256</v>
      </c>
      <c r="D91" s="65">
        <v>0</v>
      </c>
      <c r="E91" s="65" t="s">
        <v>215</v>
      </c>
    </row>
    <row r="92" spans="1:5" x14ac:dyDescent="0.2">
      <c r="A92" s="64">
        <v>2</v>
      </c>
      <c r="B92" s="64">
        <f>IFERROR(ROUND(tblHousing[[#This Row],[Amount]],2)*VLOOKUP(tblHousing[[#This Row],[Period]],Periods,2,0),"")</f>
        <v>0</v>
      </c>
      <c r="C92" s="65" t="s">
        <v>256</v>
      </c>
      <c r="D92" s="65">
        <v>0</v>
      </c>
      <c r="E92" s="65" t="s">
        <v>215</v>
      </c>
    </row>
    <row r="93" spans="1:5" x14ac:dyDescent="0.2">
      <c r="A93" s="64">
        <v>3</v>
      </c>
      <c r="B93" s="64">
        <f>IFERROR(ROUND(tblHousing[[#This Row],[Amount]],2)*VLOOKUP(tblHousing[[#This Row],[Period]],Periods,2,0),"")</f>
        <v>0</v>
      </c>
      <c r="C93" s="65" t="s">
        <v>256</v>
      </c>
      <c r="D93" s="65">
        <v>0</v>
      </c>
      <c r="E93" s="65" t="s">
        <v>215</v>
      </c>
    </row>
    <row r="94" spans="1:5" x14ac:dyDescent="0.2">
      <c r="A94" s="64">
        <v>4</v>
      </c>
      <c r="B94" s="64">
        <f>IFERROR(ROUND(tblHousing[[#This Row],[Amount]],2)*VLOOKUP(tblHousing[[#This Row],[Period]],Periods,2,0),"")</f>
        <v>0</v>
      </c>
      <c r="C94" s="65" t="s">
        <v>256</v>
      </c>
      <c r="D94" s="65">
        <v>0</v>
      </c>
      <c r="E94" s="65" t="s">
        <v>215</v>
      </c>
    </row>
    <row r="95" spans="1:5" x14ac:dyDescent="0.2">
      <c r="A95" s="64">
        <v>5</v>
      </c>
      <c r="B95" s="64">
        <f>IFERROR(ROUND(tblHousing[[#This Row],[Amount]],2)*VLOOKUP(tblHousing[[#This Row],[Period]],Periods,2,0),"")</f>
        <v>0</v>
      </c>
      <c r="C95" s="65" t="s">
        <v>256</v>
      </c>
      <c r="D95" s="65">
        <v>0</v>
      </c>
      <c r="E95" s="65" t="s">
        <v>215</v>
      </c>
    </row>
    <row r="96" spans="1:5" x14ac:dyDescent="0.2">
      <c r="A96" s="64">
        <v>6</v>
      </c>
      <c r="B96" s="64">
        <f>IFERROR(ROUND(tblHousing[[#This Row],[Amount]],2)*VLOOKUP(tblHousing[[#This Row],[Period]],Periods,2,0),"")</f>
        <v>0</v>
      </c>
      <c r="C96" s="65" t="s">
        <v>256</v>
      </c>
      <c r="D96" s="65">
        <v>0</v>
      </c>
      <c r="E96" s="65" t="s">
        <v>215</v>
      </c>
    </row>
    <row r="97" spans="1:7" x14ac:dyDescent="0.2">
      <c r="A97" s="64">
        <v>7</v>
      </c>
      <c r="B97" s="64">
        <f>IFERROR(ROUND(tblHousing[[#This Row],[Amount]],2)*VLOOKUP(tblHousing[[#This Row],[Period]],Periods,2,0),"")</f>
        <v>0</v>
      </c>
      <c r="C97" s="65" t="s">
        <v>256</v>
      </c>
      <c r="D97" s="65">
        <v>0</v>
      </c>
      <c r="E97" s="65" t="s">
        <v>215</v>
      </c>
    </row>
    <row r="98" spans="1:7" x14ac:dyDescent="0.2">
      <c r="A98" s="64">
        <v>8</v>
      </c>
      <c r="B98" s="64">
        <f>IFERROR(ROUND(tblHousing[[#This Row],[Amount]],2)*VLOOKUP(tblHousing[[#This Row],[Period]],Periods,2,0),"")</f>
        <v>0</v>
      </c>
      <c r="C98" s="65" t="s">
        <v>256</v>
      </c>
      <c r="D98" s="65">
        <v>0</v>
      </c>
      <c r="E98" s="65" t="s">
        <v>215</v>
      </c>
    </row>
    <row r="99" spans="1:7" x14ac:dyDescent="0.2">
      <c r="A99" s="64">
        <v>9</v>
      </c>
      <c r="B99" s="64">
        <f>IFERROR(ROUND(tblHousing[[#This Row],[Amount]],2)*VLOOKUP(tblHousing[[#This Row],[Period]],Periods,2,0),"")</f>
        <v>0</v>
      </c>
      <c r="C99" s="65" t="s">
        <v>256</v>
      </c>
      <c r="D99" s="65">
        <v>0</v>
      </c>
      <c r="E99" s="65" t="s">
        <v>215</v>
      </c>
    </row>
    <row r="100" spans="1:7" x14ac:dyDescent="0.2">
      <c r="A100" s="69">
        <v>10</v>
      </c>
      <c r="B100" s="69">
        <f>IFERROR(ROUND(tblHousing[[#This Row],[Amount]],2)*VLOOKUP(tblHousing[[#This Row],[Period]],Periods,2,0),"")</f>
        <v>0</v>
      </c>
      <c r="C100" s="70" t="s">
        <v>256</v>
      </c>
      <c r="D100" s="70">
        <v>0</v>
      </c>
      <c r="E100" s="70" t="s">
        <v>215</v>
      </c>
    </row>
    <row r="101" spans="1:7" ht="27" customHeight="1" x14ac:dyDescent="0.2">
      <c r="A101" s="73">
        <v>4.4646487989832888E-2</v>
      </c>
      <c r="B101" s="74"/>
      <c r="C101" s="109" t="s">
        <v>140</v>
      </c>
      <c r="D101" s="109">
        <f>ROUND(SUM(tblCommunications[Annual Total])/VLOOKUP(D5,TotalPeriods[],2,0),2)</f>
        <v>0</v>
      </c>
      <c r="E101" s="110">
        <f>IFERROR(D101/D10,0)</f>
        <v>0</v>
      </c>
      <c r="F101" s="123" t="str">
        <f>IF(E101&gt;0,IF(AND(E101&gt;0,E101&lt;=RulesOfThumb!D6),RulesOfThumb!B6,IF(AND(E101&gt;RulesOfThumb!F6,E101&lt;=RulesOfThumb!G6),RulesOfThumb!E6,IF(E101&gt;RulesOfThumb!I6,RulesOfThumb!H6,""))),"")</f>
        <v/>
      </c>
      <c r="G101" s="123"/>
    </row>
    <row r="102" spans="1:7" x14ac:dyDescent="0.2">
      <c r="A102" s="76" t="s">
        <v>223</v>
      </c>
      <c r="B102" s="76" t="s">
        <v>224</v>
      </c>
      <c r="C102" s="102" t="s">
        <v>225</v>
      </c>
      <c r="D102" s="102" t="s">
        <v>1</v>
      </c>
      <c r="E102" s="102" t="s">
        <v>226</v>
      </c>
    </row>
    <row r="103" spans="1:7" x14ac:dyDescent="0.2">
      <c r="A103" s="64" t="s">
        <v>141</v>
      </c>
      <c r="B103" s="64">
        <f>IFERROR(ROUND(tblCommunications[[#This Row],[Amount]],2)*VLOOKUP(tblCommunications[[#This Row],[Period]],Periods,2,0),"")</f>
        <v>0</v>
      </c>
      <c r="C103" s="64" t="s">
        <v>292</v>
      </c>
      <c r="D103" s="65">
        <v>0</v>
      </c>
      <c r="E103" s="65" t="s">
        <v>215</v>
      </c>
    </row>
    <row r="104" spans="1:7" x14ac:dyDescent="0.2">
      <c r="A104" s="64" t="s">
        <v>144</v>
      </c>
      <c r="B104" s="64">
        <f>IFERROR(ROUND(tblCommunications[[#This Row],[Amount]],2)*VLOOKUP(tblCommunications[[#This Row],[Period]],Periods,2,0),"")</f>
        <v>0</v>
      </c>
      <c r="C104" s="64" t="s">
        <v>293</v>
      </c>
      <c r="D104" s="65">
        <v>0</v>
      </c>
      <c r="E104" s="65" t="s">
        <v>215</v>
      </c>
    </row>
    <row r="105" spans="1:7" x14ac:dyDescent="0.2">
      <c r="A105" s="64" t="s">
        <v>147</v>
      </c>
      <c r="B105" s="64">
        <f>IFERROR(ROUND(tblCommunications[[#This Row],[Amount]],2)*VLOOKUP(tblCommunications[[#This Row],[Period]],Periods,2,0),"")</f>
        <v>0</v>
      </c>
      <c r="C105" s="64" t="s">
        <v>294</v>
      </c>
      <c r="D105" s="65">
        <v>0</v>
      </c>
      <c r="E105" s="65" t="s">
        <v>215</v>
      </c>
    </row>
    <row r="106" spans="1:7" x14ac:dyDescent="0.2">
      <c r="A106" s="64" t="s">
        <v>295</v>
      </c>
      <c r="B106" s="64">
        <f>IFERROR(ROUND(tblCommunications[[#This Row],[Amount]],2)*VLOOKUP(tblCommunications[[#This Row],[Period]],Periods,2,0),"")</f>
        <v>0</v>
      </c>
      <c r="C106" s="64" t="s">
        <v>296</v>
      </c>
      <c r="D106" s="65">
        <v>0</v>
      </c>
      <c r="E106" s="65" t="s">
        <v>215</v>
      </c>
    </row>
    <row r="107" spans="1:7" x14ac:dyDescent="0.2">
      <c r="A107" s="64" t="s">
        <v>297</v>
      </c>
      <c r="B107" s="64">
        <f>IFERROR(ROUND(tblCommunications[[#This Row],[Amount]],2)*VLOOKUP(tblCommunications[[#This Row],[Period]],Periods,2,0),"")</f>
        <v>0</v>
      </c>
      <c r="C107" s="64" t="s">
        <v>298</v>
      </c>
      <c r="D107" s="65">
        <v>0</v>
      </c>
      <c r="E107" s="65" t="s">
        <v>215</v>
      </c>
    </row>
    <row r="108" spans="1:7" x14ac:dyDescent="0.2">
      <c r="A108" s="66"/>
      <c r="B108" s="66" t="str">
        <f>IFERROR(ROUND(tblCommunications[[#This Row],[Amount]],2)*VLOOKUP(tblCommunications[[#This Row],[Period]],Periods,2,0),"")</f>
        <v/>
      </c>
      <c r="C108" s="67" t="s">
        <v>255</v>
      </c>
      <c r="D108" s="68"/>
      <c r="E108" s="68"/>
    </row>
    <row r="109" spans="1:7" x14ac:dyDescent="0.2">
      <c r="A109" s="64">
        <v>1</v>
      </c>
      <c r="B109" s="64">
        <f>IFERROR(ROUND(tblCommunications[[#This Row],[Amount]],2)*VLOOKUP(tblCommunications[[#This Row],[Period]],Periods,2,0),"")</f>
        <v>0</v>
      </c>
      <c r="C109" s="65" t="s">
        <v>256</v>
      </c>
      <c r="D109" s="65">
        <v>0</v>
      </c>
      <c r="E109" s="65" t="s">
        <v>215</v>
      </c>
    </row>
    <row r="110" spans="1:7" x14ac:dyDescent="0.2">
      <c r="A110" s="64">
        <v>2</v>
      </c>
      <c r="B110" s="64">
        <f>IFERROR(ROUND(tblCommunications[[#This Row],[Amount]],2)*VLOOKUP(tblCommunications[[#This Row],[Period]],Periods,2,0),"")</f>
        <v>0</v>
      </c>
      <c r="C110" s="65" t="s">
        <v>256</v>
      </c>
      <c r="D110" s="65">
        <v>0</v>
      </c>
      <c r="E110" s="65" t="s">
        <v>215</v>
      </c>
    </row>
    <row r="111" spans="1:7" x14ac:dyDescent="0.2">
      <c r="A111" s="64">
        <v>3</v>
      </c>
      <c r="B111" s="64">
        <f>IFERROR(ROUND(tblCommunications[[#This Row],[Amount]],2)*VLOOKUP(tblCommunications[[#This Row],[Period]],Periods,2,0),"")</f>
        <v>0</v>
      </c>
      <c r="C111" s="65" t="s">
        <v>256</v>
      </c>
      <c r="D111" s="65">
        <v>0</v>
      </c>
      <c r="E111" s="65" t="s">
        <v>215</v>
      </c>
    </row>
    <row r="112" spans="1:7" x14ac:dyDescent="0.2">
      <c r="A112" s="64">
        <v>4</v>
      </c>
      <c r="B112" s="64">
        <f>IFERROR(ROUND(tblCommunications[[#This Row],[Amount]],2)*VLOOKUP(tblCommunications[[#This Row],[Period]],Periods,2,0),"")</f>
        <v>0</v>
      </c>
      <c r="C112" s="65" t="s">
        <v>256</v>
      </c>
      <c r="D112" s="65">
        <v>0</v>
      </c>
      <c r="E112" s="65" t="s">
        <v>215</v>
      </c>
    </row>
    <row r="113" spans="1:7" x14ac:dyDescent="0.2">
      <c r="A113" s="64">
        <v>5</v>
      </c>
      <c r="B113" s="64">
        <f>IFERROR(ROUND(tblCommunications[[#This Row],[Amount]],2)*VLOOKUP(tblCommunications[[#This Row],[Period]],Periods,2,0),"")</f>
        <v>0</v>
      </c>
      <c r="C113" s="65" t="s">
        <v>256</v>
      </c>
      <c r="D113" s="65">
        <v>0</v>
      </c>
      <c r="E113" s="65" t="s">
        <v>215</v>
      </c>
    </row>
    <row r="114" spans="1:7" x14ac:dyDescent="0.2">
      <c r="A114" s="64">
        <v>6</v>
      </c>
      <c r="B114" s="64">
        <f>IFERROR(ROUND(tblCommunications[[#This Row],[Amount]],2)*VLOOKUP(tblCommunications[[#This Row],[Period]],Periods,2,0),"")</f>
        <v>0</v>
      </c>
      <c r="C114" s="65" t="s">
        <v>256</v>
      </c>
      <c r="D114" s="65">
        <v>0</v>
      </c>
      <c r="E114" s="65" t="s">
        <v>215</v>
      </c>
    </row>
    <row r="115" spans="1:7" x14ac:dyDescent="0.2">
      <c r="A115" s="64">
        <v>7</v>
      </c>
      <c r="B115" s="64">
        <f>IFERROR(ROUND(tblCommunications[[#This Row],[Amount]],2)*VLOOKUP(tblCommunications[[#This Row],[Period]],Periods,2,0),"")</f>
        <v>0</v>
      </c>
      <c r="C115" s="65" t="s">
        <v>256</v>
      </c>
      <c r="D115" s="65">
        <v>0</v>
      </c>
      <c r="E115" s="65" t="s">
        <v>215</v>
      </c>
    </row>
    <row r="116" spans="1:7" x14ac:dyDescent="0.2">
      <c r="A116" s="64">
        <v>8</v>
      </c>
      <c r="B116" s="64">
        <f>IFERROR(ROUND(tblCommunications[[#This Row],[Amount]],2)*VLOOKUP(tblCommunications[[#This Row],[Period]],Periods,2,0),"")</f>
        <v>0</v>
      </c>
      <c r="C116" s="65" t="s">
        <v>256</v>
      </c>
      <c r="D116" s="65">
        <v>0</v>
      </c>
      <c r="E116" s="65" t="s">
        <v>215</v>
      </c>
    </row>
    <row r="117" spans="1:7" x14ac:dyDescent="0.2">
      <c r="A117" s="64">
        <v>9</v>
      </c>
      <c r="B117" s="64">
        <f>IFERROR(ROUND(tblCommunications[[#This Row],[Amount]],2)*VLOOKUP(tblCommunications[[#This Row],[Period]],Periods,2,0),"")</f>
        <v>0</v>
      </c>
      <c r="C117" s="65" t="s">
        <v>256</v>
      </c>
      <c r="D117" s="65">
        <v>0</v>
      </c>
      <c r="E117" s="65" t="s">
        <v>215</v>
      </c>
    </row>
    <row r="118" spans="1:7" x14ac:dyDescent="0.2">
      <c r="A118" s="69">
        <v>10</v>
      </c>
      <c r="B118" s="69">
        <f>IFERROR(ROUND(tblCommunications[[#This Row],[Amount]],2)*VLOOKUP(tblCommunications[[#This Row],[Period]],Periods,2,0),"")</f>
        <v>0</v>
      </c>
      <c r="C118" s="70" t="s">
        <v>256</v>
      </c>
      <c r="D118" s="70">
        <v>0</v>
      </c>
      <c r="E118" s="70" t="s">
        <v>215</v>
      </c>
    </row>
    <row r="119" spans="1:7" ht="27" customHeight="1" x14ac:dyDescent="0.2">
      <c r="A119" s="73">
        <v>0.1343080505796749</v>
      </c>
      <c r="B119" s="74"/>
      <c r="C119" s="109" t="s">
        <v>150</v>
      </c>
      <c r="D119" s="109">
        <f>ROUND(SUM(tblFood[Annual Total])/VLOOKUP(D5,TotalPeriods[],2,0),2)</f>
        <v>0</v>
      </c>
      <c r="E119" s="110" t="str">
        <f>IF(D10&gt;0,IFERROR(D119/D10,0),"")</f>
        <v/>
      </c>
      <c r="F119" s="123" t="str">
        <f>IF(D10&gt;0,IF(E119&gt;0,IF(AND(E119&gt;0,E119&lt;=RulesOfThumb!D7),RulesOfThumb!B7,IF(AND(E119&gt;RulesOfThumb!F7,E119&lt;=RulesOfThumb!G7),RulesOfThumb!E7,IF(E119&gt;RulesOfThumb!I7,RulesOfThumb!H7,""))),RulesOfThumb!K7),"")</f>
        <v/>
      </c>
      <c r="G119" s="123"/>
    </row>
    <row r="120" spans="1:7" ht="15" customHeight="1" x14ac:dyDescent="0.2">
      <c r="A120" s="76" t="s">
        <v>223</v>
      </c>
      <c r="B120" s="76" t="s">
        <v>224</v>
      </c>
      <c r="C120" s="102" t="s">
        <v>225</v>
      </c>
      <c r="D120" s="102" t="s">
        <v>1</v>
      </c>
      <c r="E120" s="102" t="s">
        <v>226</v>
      </c>
    </row>
    <row r="121" spans="1:7" x14ac:dyDescent="0.2">
      <c r="A121" s="64" t="s">
        <v>151</v>
      </c>
      <c r="B121" s="64">
        <f>IFERROR(ROUND(tblFood[[#This Row],[Amount]],2)*VLOOKUP(tblFood[[#This Row],[Period]],Periods,2,0),"")</f>
        <v>0</v>
      </c>
      <c r="C121" s="64" t="s">
        <v>299</v>
      </c>
      <c r="D121" s="65">
        <v>0</v>
      </c>
      <c r="E121" s="65" t="s">
        <v>300</v>
      </c>
    </row>
    <row r="122" spans="1:7" x14ac:dyDescent="0.2">
      <c r="A122" s="64" t="s">
        <v>154</v>
      </c>
      <c r="B122" s="64">
        <f>IFERROR(ROUND(tblFood[[#This Row],[Amount]],2)*VLOOKUP(tblFood[[#This Row],[Period]],Periods,2,0),"")</f>
        <v>0</v>
      </c>
      <c r="C122" s="64" t="s">
        <v>301</v>
      </c>
      <c r="D122" s="65">
        <v>0</v>
      </c>
      <c r="E122" s="65" t="s">
        <v>300</v>
      </c>
    </row>
    <row r="123" spans="1:7" x14ac:dyDescent="0.2">
      <c r="A123" s="66"/>
      <c r="B123" s="66" t="str">
        <f>IFERROR(ROUND(tblFood[[#This Row],[Amount]],2)*VLOOKUP(tblFood[[#This Row],[Period]],Periods,2,0),"")</f>
        <v/>
      </c>
      <c r="C123" s="67" t="s">
        <v>255</v>
      </c>
      <c r="D123" s="68"/>
      <c r="E123" s="68"/>
    </row>
    <row r="124" spans="1:7" x14ac:dyDescent="0.2">
      <c r="A124" s="64">
        <v>1</v>
      </c>
      <c r="B124" s="64">
        <f>IFERROR(ROUND(tblFood[[#This Row],[Amount]],2)*VLOOKUP(tblFood[[#This Row],[Period]],Periods,2,0),"")</f>
        <v>0</v>
      </c>
      <c r="C124" s="65" t="s">
        <v>256</v>
      </c>
      <c r="D124" s="65">
        <v>0</v>
      </c>
      <c r="E124" s="65" t="s">
        <v>300</v>
      </c>
    </row>
    <row r="125" spans="1:7" x14ac:dyDescent="0.2">
      <c r="A125" s="64">
        <v>2</v>
      </c>
      <c r="B125" s="64">
        <f>IFERROR(ROUND(tblFood[[#This Row],[Amount]],2)*VLOOKUP(tblFood[[#This Row],[Period]],Periods,2,0),"")</f>
        <v>0</v>
      </c>
      <c r="C125" s="65" t="s">
        <v>256</v>
      </c>
      <c r="D125" s="65">
        <v>0</v>
      </c>
      <c r="E125" s="65" t="s">
        <v>300</v>
      </c>
    </row>
    <row r="126" spans="1:7" x14ac:dyDescent="0.2">
      <c r="A126" s="64">
        <v>3</v>
      </c>
      <c r="B126" s="64">
        <f>IFERROR(ROUND(tblFood[[#This Row],[Amount]],2)*VLOOKUP(tblFood[[#This Row],[Period]],Periods,2,0),"")</f>
        <v>0</v>
      </c>
      <c r="C126" s="65" t="s">
        <v>256</v>
      </c>
      <c r="D126" s="65">
        <v>0</v>
      </c>
      <c r="E126" s="65" t="s">
        <v>300</v>
      </c>
    </row>
    <row r="127" spans="1:7" x14ac:dyDescent="0.2">
      <c r="A127" s="64">
        <v>4</v>
      </c>
      <c r="B127" s="64">
        <f>IFERROR(ROUND(tblFood[[#This Row],[Amount]],2)*VLOOKUP(tblFood[[#This Row],[Period]],Periods,2,0),"")</f>
        <v>0</v>
      </c>
      <c r="C127" s="65" t="s">
        <v>256</v>
      </c>
      <c r="D127" s="65">
        <v>0</v>
      </c>
      <c r="E127" s="65" t="s">
        <v>300</v>
      </c>
    </row>
    <row r="128" spans="1:7" x14ac:dyDescent="0.2">
      <c r="A128" s="64">
        <v>5</v>
      </c>
      <c r="B128" s="64">
        <f>IFERROR(ROUND(tblFood[[#This Row],[Amount]],2)*VLOOKUP(tblFood[[#This Row],[Period]],Periods,2,0),"")</f>
        <v>0</v>
      </c>
      <c r="C128" s="65" t="s">
        <v>256</v>
      </c>
      <c r="D128" s="65">
        <v>0</v>
      </c>
      <c r="E128" s="65" t="s">
        <v>300</v>
      </c>
    </row>
    <row r="129" spans="1:7" x14ac:dyDescent="0.2">
      <c r="A129" s="64">
        <v>6</v>
      </c>
      <c r="B129" s="64">
        <f>IFERROR(ROUND(tblFood[[#This Row],[Amount]],2)*VLOOKUP(tblFood[[#This Row],[Period]],Periods,2,0),"")</f>
        <v>0</v>
      </c>
      <c r="C129" s="65" t="s">
        <v>256</v>
      </c>
      <c r="D129" s="65">
        <v>0</v>
      </c>
      <c r="E129" s="65" t="s">
        <v>300</v>
      </c>
    </row>
    <row r="130" spans="1:7" x14ac:dyDescent="0.2">
      <c r="A130" s="64">
        <v>7</v>
      </c>
      <c r="B130" s="64">
        <f>IFERROR(ROUND(tblFood[[#This Row],[Amount]],2)*VLOOKUP(tblFood[[#This Row],[Period]],Periods,2,0),"")</f>
        <v>0</v>
      </c>
      <c r="C130" s="65" t="s">
        <v>256</v>
      </c>
      <c r="D130" s="65">
        <v>0</v>
      </c>
      <c r="E130" s="65" t="s">
        <v>300</v>
      </c>
    </row>
    <row r="131" spans="1:7" x14ac:dyDescent="0.2">
      <c r="A131" s="64">
        <v>8</v>
      </c>
      <c r="B131" s="64">
        <f>IFERROR(ROUND(tblFood[[#This Row],[Amount]],2)*VLOOKUP(tblFood[[#This Row],[Period]],Periods,2,0),"")</f>
        <v>0</v>
      </c>
      <c r="C131" s="65" t="s">
        <v>256</v>
      </c>
      <c r="D131" s="65">
        <v>0</v>
      </c>
      <c r="E131" s="65" t="s">
        <v>300</v>
      </c>
    </row>
    <row r="132" spans="1:7" x14ac:dyDescent="0.2">
      <c r="A132" s="64">
        <v>9</v>
      </c>
      <c r="B132" s="64">
        <f>IFERROR(ROUND(tblFood[[#This Row],[Amount]],2)*VLOOKUP(tblFood[[#This Row],[Period]],Periods,2,0),"")</f>
        <v>0</v>
      </c>
      <c r="C132" s="65" t="s">
        <v>256</v>
      </c>
      <c r="D132" s="65">
        <v>0</v>
      </c>
      <c r="E132" s="65" t="s">
        <v>300</v>
      </c>
    </row>
    <row r="133" spans="1:7" x14ac:dyDescent="0.2">
      <c r="A133" s="69">
        <v>10</v>
      </c>
      <c r="B133" s="69">
        <f>IFERROR(ROUND(tblFood[[#This Row],[Amount]],2)*VLOOKUP(tblFood[[#This Row],[Period]],Periods,2,0),"")</f>
        <v>0</v>
      </c>
      <c r="C133" s="70" t="s">
        <v>256</v>
      </c>
      <c r="D133" s="70">
        <v>0</v>
      </c>
      <c r="E133" s="70" t="s">
        <v>300</v>
      </c>
    </row>
    <row r="134" spans="1:7" ht="27" customHeight="1" x14ac:dyDescent="0.2">
      <c r="A134" s="73">
        <v>1.7074936117572753E-2</v>
      </c>
      <c r="B134" s="74"/>
      <c r="C134" s="109" t="s">
        <v>157</v>
      </c>
      <c r="D134" s="109">
        <f>ROUND(SUM(tblInsurance[Annual Total])/VLOOKUP(D5,TotalPeriods[],2,0),2)</f>
        <v>0</v>
      </c>
      <c r="E134" s="110" t="str">
        <f>IF(D10&gt;0,IFERROR(D134/D10,0),"")</f>
        <v/>
      </c>
      <c r="F134" s="123" t="str">
        <f>IF(D10&gt;0,IF(E134&gt;0,IF(AND(E134&gt;0,E134&lt;=RulesOfThumb!D8),RulesOfThumb!B8,IF(AND(E134&gt;RulesOfThumb!F8,E134&lt;=RulesOfThumb!G8),RulesOfThumb!E8,IF(E134&gt;RulesOfThumb!I8,RulesOfThumb!H8,""))),RulesOfThumb!K8),"")</f>
        <v/>
      </c>
      <c r="G134" s="123"/>
    </row>
    <row r="135" spans="1:7" ht="15" customHeight="1" x14ac:dyDescent="0.2">
      <c r="A135" s="76" t="s">
        <v>223</v>
      </c>
      <c r="B135" s="76" t="s">
        <v>224</v>
      </c>
      <c r="C135" s="102" t="s">
        <v>225</v>
      </c>
      <c r="D135" s="102" t="s">
        <v>1</v>
      </c>
      <c r="E135" s="102" t="s">
        <v>226</v>
      </c>
    </row>
    <row r="136" spans="1:7" x14ac:dyDescent="0.2">
      <c r="A136" s="64" t="s">
        <v>158</v>
      </c>
      <c r="B136" s="64">
        <f>IFERROR(ROUND(tblInsurance[[#This Row],[Amount]],2)*VLOOKUP(tblInsurance[[#This Row],[Period]],Periods,2,0),"")</f>
        <v>0</v>
      </c>
      <c r="C136" s="64" t="s">
        <v>302</v>
      </c>
      <c r="D136" s="65">
        <v>0</v>
      </c>
      <c r="E136" s="65" t="s">
        <v>215</v>
      </c>
    </row>
    <row r="137" spans="1:7" x14ac:dyDescent="0.2">
      <c r="A137" s="64" t="s">
        <v>162</v>
      </c>
      <c r="B137" s="64">
        <f>IFERROR(ROUND(tblInsurance[[#This Row],[Amount]],2)*VLOOKUP(tblInsurance[[#This Row],[Period]],Periods,2,0),"")</f>
        <v>0</v>
      </c>
      <c r="C137" s="64" t="s">
        <v>303</v>
      </c>
      <c r="D137" s="65">
        <v>0</v>
      </c>
      <c r="E137" s="65" t="s">
        <v>215</v>
      </c>
    </row>
    <row r="138" spans="1:7" x14ac:dyDescent="0.2">
      <c r="A138" s="64" t="s">
        <v>164</v>
      </c>
      <c r="B138" s="64">
        <f>IFERROR(ROUND(tblInsurance[[#This Row],[Amount]],2)*VLOOKUP(tblInsurance[[#This Row],[Period]],Periods,2,0),"")</f>
        <v>0</v>
      </c>
      <c r="C138" s="64" t="s">
        <v>304</v>
      </c>
      <c r="D138" s="65">
        <v>0</v>
      </c>
      <c r="E138" s="65" t="s">
        <v>215</v>
      </c>
    </row>
    <row r="139" spans="1:7" x14ac:dyDescent="0.2">
      <c r="A139" s="66"/>
      <c r="B139" s="66" t="str">
        <f>IFERROR(ROUND(tblInsurance[[#This Row],[Amount]],2)*VLOOKUP(tblInsurance[[#This Row],[Period]],Periods,2,0),"")</f>
        <v/>
      </c>
      <c r="C139" s="67" t="s">
        <v>255</v>
      </c>
      <c r="D139" s="68"/>
      <c r="E139" s="68"/>
    </row>
    <row r="140" spans="1:7" x14ac:dyDescent="0.2">
      <c r="A140" s="64">
        <v>1</v>
      </c>
      <c r="B140" s="64">
        <f>IFERROR(ROUND(tblInsurance[[#This Row],[Amount]],2)*VLOOKUP(tblInsurance[[#This Row],[Period]],Periods,2,0),"")</f>
        <v>0</v>
      </c>
      <c r="C140" s="65" t="s">
        <v>256</v>
      </c>
      <c r="D140" s="65">
        <v>0</v>
      </c>
      <c r="E140" s="65" t="s">
        <v>215</v>
      </c>
    </row>
    <row r="141" spans="1:7" x14ac:dyDescent="0.2">
      <c r="A141" s="64">
        <v>2</v>
      </c>
      <c r="B141" s="64">
        <f>IFERROR(ROUND(tblInsurance[[#This Row],[Amount]],2)*VLOOKUP(tblInsurance[[#This Row],[Period]],Periods,2,0),"")</f>
        <v>0</v>
      </c>
      <c r="C141" s="65" t="s">
        <v>256</v>
      </c>
      <c r="D141" s="65">
        <v>0</v>
      </c>
      <c r="E141" s="65" t="s">
        <v>215</v>
      </c>
    </row>
    <row r="142" spans="1:7" x14ac:dyDescent="0.2">
      <c r="A142" s="64">
        <v>3</v>
      </c>
      <c r="B142" s="64">
        <f>IFERROR(ROUND(tblInsurance[[#This Row],[Amount]],2)*VLOOKUP(tblInsurance[[#This Row],[Period]],Periods,2,0),"")</f>
        <v>0</v>
      </c>
      <c r="C142" s="65" t="s">
        <v>256</v>
      </c>
      <c r="D142" s="65">
        <v>0</v>
      </c>
      <c r="E142" s="65" t="s">
        <v>215</v>
      </c>
    </row>
    <row r="143" spans="1:7" x14ac:dyDescent="0.2">
      <c r="A143" s="64">
        <v>4</v>
      </c>
      <c r="B143" s="64">
        <f>IFERROR(ROUND(tblInsurance[[#This Row],[Amount]],2)*VLOOKUP(tblInsurance[[#This Row],[Period]],Periods,2,0),"")</f>
        <v>0</v>
      </c>
      <c r="C143" s="65" t="s">
        <v>256</v>
      </c>
      <c r="D143" s="65">
        <v>0</v>
      </c>
      <c r="E143" s="65" t="s">
        <v>215</v>
      </c>
    </row>
    <row r="144" spans="1:7" ht="15" x14ac:dyDescent="0.2">
      <c r="A144" s="64">
        <v>5</v>
      </c>
      <c r="B144" s="64">
        <f>IFERROR(ROUND(tblInsurance[[#This Row],[Amount]],2)*VLOOKUP(tblInsurance[[#This Row],[Period]],Periods,2,0),"")</f>
        <v>0</v>
      </c>
      <c r="C144" s="65" t="s">
        <v>256</v>
      </c>
      <c r="D144" s="65">
        <v>0</v>
      </c>
      <c r="E144" s="65" t="s">
        <v>215</v>
      </c>
      <c r="G144" s="77"/>
    </row>
    <row r="145" spans="1:7" ht="15" x14ac:dyDescent="0.2">
      <c r="A145" s="64">
        <v>6</v>
      </c>
      <c r="B145" s="64">
        <f>IFERROR(ROUND(tblInsurance[[#This Row],[Amount]],2)*VLOOKUP(tblInsurance[[#This Row],[Period]],Periods,2,0),"")</f>
        <v>0</v>
      </c>
      <c r="C145" s="65" t="s">
        <v>256</v>
      </c>
      <c r="D145" s="65">
        <v>0</v>
      </c>
      <c r="E145" s="65" t="s">
        <v>215</v>
      </c>
      <c r="G145" s="77"/>
    </row>
    <row r="146" spans="1:7" ht="15" x14ac:dyDescent="0.2">
      <c r="A146" s="64">
        <v>7</v>
      </c>
      <c r="B146" s="64">
        <f>IFERROR(ROUND(tblInsurance[[#This Row],[Amount]],2)*VLOOKUP(tblInsurance[[#This Row],[Period]],Periods,2,0),"")</f>
        <v>0</v>
      </c>
      <c r="C146" s="65" t="s">
        <v>256</v>
      </c>
      <c r="D146" s="65">
        <v>0</v>
      </c>
      <c r="E146" s="65" t="s">
        <v>215</v>
      </c>
      <c r="G146" s="77"/>
    </row>
    <row r="147" spans="1:7" ht="15" x14ac:dyDescent="0.2">
      <c r="A147" s="64">
        <v>8</v>
      </c>
      <c r="B147" s="64">
        <f>IFERROR(ROUND(tblInsurance[[#This Row],[Amount]],2)*VLOOKUP(tblInsurance[[#This Row],[Period]],Periods,2,0),"")</f>
        <v>0</v>
      </c>
      <c r="C147" s="65" t="s">
        <v>256</v>
      </c>
      <c r="D147" s="65">
        <v>0</v>
      </c>
      <c r="E147" s="65" t="s">
        <v>215</v>
      </c>
      <c r="G147" s="77"/>
    </row>
    <row r="148" spans="1:7" ht="15" x14ac:dyDescent="0.2">
      <c r="A148" s="64">
        <v>9</v>
      </c>
      <c r="B148" s="64">
        <f>IFERROR(ROUND(tblInsurance[[#This Row],[Amount]],2)*VLOOKUP(tblInsurance[[#This Row],[Period]],Periods,2,0),"")</f>
        <v>0</v>
      </c>
      <c r="C148" s="65" t="s">
        <v>256</v>
      </c>
      <c r="D148" s="65">
        <v>0</v>
      </c>
      <c r="E148" s="65" t="s">
        <v>215</v>
      </c>
      <c r="G148" s="77"/>
    </row>
    <row r="149" spans="1:7" ht="15" x14ac:dyDescent="0.2">
      <c r="A149" s="69">
        <v>10</v>
      </c>
      <c r="B149" s="69">
        <f>IFERROR(ROUND(tblInsurance[[#This Row],[Amount]],2)*VLOOKUP(tblInsurance[[#This Row],[Period]],Periods,2,0),"")</f>
        <v>0</v>
      </c>
      <c r="C149" s="70" t="s">
        <v>256</v>
      </c>
      <c r="D149" s="70">
        <v>0</v>
      </c>
      <c r="E149" s="70" t="s">
        <v>215</v>
      </c>
      <c r="G149" s="77"/>
    </row>
    <row r="150" spans="1:7" ht="27" customHeight="1" x14ac:dyDescent="0.2">
      <c r="A150" s="73">
        <v>0.15950428612786655</v>
      </c>
      <c r="B150" s="74"/>
      <c r="C150" s="109" t="s">
        <v>166</v>
      </c>
      <c r="D150" s="109">
        <f>ROUND(SUM(tblTransportation[Annual Total])/VLOOKUP(D5,TotalPeriods[],2,0),2)</f>
        <v>0</v>
      </c>
      <c r="E150" s="110">
        <f>IFERROR(D150/D10,0)</f>
        <v>0</v>
      </c>
      <c r="F150" s="123" t="str">
        <f>IF(E150&gt;0,IF(AND(E150&gt;0,E150&lt;=RulesOfThumb!D9),RulesOfThumb!B9,IF(AND(E150&gt;RulesOfThumb!F9,E150&lt;=RulesOfThumb!G9),RulesOfThumb!E9,IF(E150&gt;RulesOfThumb!I9,RulesOfThumb!H9,""))),"")</f>
        <v/>
      </c>
      <c r="G150" s="123"/>
    </row>
    <row r="151" spans="1:7" ht="15" x14ac:dyDescent="0.2">
      <c r="A151" s="76" t="s">
        <v>223</v>
      </c>
      <c r="B151" s="76" t="s">
        <v>224</v>
      </c>
      <c r="C151" s="102" t="s">
        <v>225</v>
      </c>
      <c r="D151" s="102" t="s">
        <v>1</v>
      </c>
      <c r="E151" s="102" t="s">
        <v>226</v>
      </c>
      <c r="G151" s="77"/>
    </row>
    <row r="152" spans="1:7" ht="20.100000000000001" customHeight="1" x14ac:dyDescent="0.2">
      <c r="A152" s="64" t="s">
        <v>167</v>
      </c>
      <c r="B152" s="64">
        <f>IFERROR(ROUND(tblTransportation[[#This Row],[Amount]],2)*VLOOKUP(tblTransportation[[#This Row],[Period]],Periods,2,0),"")</f>
        <v>0</v>
      </c>
      <c r="C152" s="64" t="s">
        <v>305</v>
      </c>
      <c r="D152" s="65">
        <v>0</v>
      </c>
      <c r="E152" s="65" t="s">
        <v>215</v>
      </c>
      <c r="G152" s="77"/>
    </row>
    <row r="153" spans="1:7" ht="15" x14ac:dyDescent="0.2">
      <c r="A153" s="64" t="s">
        <v>171</v>
      </c>
      <c r="B153" s="64">
        <f>IFERROR(ROUND(tblTransportation[[#This Row],[Amount]],2)*VLOOKUP(tblTransportation[[#This Row],[Period]],Periods,2,0),"")</f>
        <v>0</v>
      </c>
      <c r="C153" s="64" t="s">
        <v>306</v>
      </c>
      <c r="D153" s="65">
        <v>0</v>
      </c>
      <c r="E153" s="65" t="s">
        <v>215</v>
      </c>
      <c r="G153" s="77"/>
    </row>
    <row r="154" spans="1:7" x14ac:dyDescent="0.2">
      <c r="A154" s="64" t="s">
        <v>307</v>
      </c>
      <c r="B154" s="64">
        <f>IFERROR(ROUND(tblTransportation[[#This Row],[Amount]],2)*VLOOKUP(tblTransportation[[#This Row],[Period]],Periods,2,0),"")</f>
        <v>0</v>
      </c>
      <c r="C154" s="64" t="s">
        <v>308</v>
      </c>
      <c r="D154" s="65">
        <v>0</v>
      </c>
      <c r="E154" s="65" t="s">
        <v>300</v>
      </c>
    </row>
    <row r="155" spans="1:7" x14ac:dyDescent="0.2">
      <c r="A155" s="64" t="s">
        <v>309</v>
      </c>
      <c r="B155" s="64">
        <f>IFERROR(ROUND(tblTransportation[[#This Row],[Amount]],2)*VLOOKUP(tblTransportation[[#This Row],[Period]],Periods,2,0),"")</f>
        <v>0</v>
      </c>
      <c r="C155" s="64" t="s">
        <v>310</v>
      </c>
      <c r="D155" s="65">
        <v>0</v>
      </c>
      <c r="E155" s="65" t="s">
        <v>215</v>
      </c>
    </row>
    <row r="156" spans="1:7" x14ac:dyDescent="0.2">
      <c r="A156" s="64" t="s">
        <v>311</v>
      </c>
      <c r="B156" s="64">
        <f>IFERROR(ROUND(tblTransportation[[#This Row],[Amount]],2)*VLOOKUP(tblTransportation[[#This Row],[Period]],Periods,2,0),"")</f>
        <v>0</v>
      </c>
      <c r="C156" s="64" t="s">
        <v>312</v>
      </c>
      <c r="D156" s="65">
        <v>0</v>
      </c>
      <c r="E156" s="65" t="s">
        <v>268</v>
      </c>
    </row>
    <row r="157" spans="1:7" x14ac:dyDescent="0.2">
      <c r="A157" s="64" t="s">
        <v>313</v>
      </c>
      <c r="B157" s="64">
        <f>IFERROR(ROUND(tblTransportation[[#This Row],[Amount]],2)*VLOOKUP(tblTransportation[[#This Row],[Period]],Periods,2,0),"")</f>
        <v>0</v>
      </c>
      <c r="C157" s="64" t="s">
        <v>314</v>
      </c>
      <c r="D157" s="65">
        <v>0</v>
      </c>
      <c r="E157" s="65" t="s">
        <v>215</v>
      </c>
    </row>
    <row r="158" spans="1:7" x14ac:dyDescent="0.2">
      <c r="A158" s="64" t="s">
        <v>315</v>
      </c>
      <c r="B158" s="64">
        <f>IFERROR(ROUND(tblTransportation[[#This Row],[Amount]],2)*VLOOKUP(tblTransportation[[#This Row],[Period]],Periods,2,0),"")</f>
        <v>0</v>
      </c>
      <c r="C158" s="64" t="s">
        <v>316</v>
      </c>
      <c r="D158" s="65">
        <v>0</v>
      </c>
      <c r="E158" s="65" t="s">
        <v>215</v>
      </c>
    </row>
    <row r="159" spans="1:7" x14ac:dyDescent="0.2">
      <c r="A159" s="64" t="s">
        <v>317</v>
      </c>
      <c r="B159" s="64">
        <f>IFERROR(ROUND(tblTransportation[[#This Row],[Amount]],2)*VLOOKUP(tblTransportation[[#This Row],[Period]],Periods,2,0),"")</f>
        <v>0</v>
      </c>
      <c r="C159" s="64" t="s">
        <v>318</v>
      </c>
      <c r="D159" s="65">
        <v>0</v>
      </c>
      <c r="E159" s="65" t="s">
        <v>215</v>
      </c>
    </row>
    <row r="160" spans="1:7" x14ac:dyDescent="0.2">
      <c r="A160" s="66"/>
      <c r="B160" s="66" t="str">
        <f>IFERROR(ROUND(tblTransportation[[#This Row],[Amount]],2)*VLOOKUP(tblTransportation[[#This Row],[Period]],Periods,2,0),"")</f>
        <v/>
      </c>
      <c r="C160" s="67" t="s">
        <v>255</v>
      </c>
      <c r="D160" s="68"/>
      <c r="E160" s="68"/>
    </row>
    <row r="161" spans="1:7" x14ac:dyDescent="0.2">
      <c r="A161" s="64">
        <v>1</v>
      </c>
      <c r="B161" s="64">
        <f>IFERROR(ROUND(tblTransportation[[#This Row],[Amount]],2)*VLOOKUP(tblTransportation[[#This Row],[Period]],Periods,2,0),"")</f>
        <v>0</v>
      </c>
      <c r="C161" s="65" t="s">
        <v>256</v>
      </c>
      <c r="D161" s="65">
        <v>0</v>
      </c>
      <c r="E161" s="65" t="s">
        <v>215</v>
      </c>
    </row>
    <row r="162" spans="1:7" x14ac:dyDescent="0.2">
      <c r="A162" s="64">
        <v>2</v>
      </c>
      <c r="B162" s="64">
        <f>IFERROR(ROUND(tblTransportation[[#This Row],[Amount]],2)*VLOOKUP(tblTransportation[[#This Row],[Period]],Periods,2,0),"")</f>
        <v>0</v>
      </c>
      <c r="C162" s="65" t="s">
        <v>256</v>
      </c>
      <c r="D162" s="65">
        <v>0</v>
      </c>
      <c r="E162" s="65" t="s">
        <v>215</v>
      </c>
    </row>
    <row r="163" spans="1:7" x14ac:dyDescent="0.2">
      <c r="A163" s="64">
        <v>3</v>
      </c>
      <c r="B163" s="64">
        <f>IFERROR(ROUND(tblTransportation[[#This Row],[Amount]],2)*VLOOKUP(tblTransportation[[#This Row],[Period]],Periods,2,0),"")</f>
        <v>0</v>
      </c>
      <c r="C163" s="65" t="s">
        <v>256</v>
      </c>
      <c r="D163" s="65">
        <v>0</v>
      </c>
      <c r="E163" s="65" t="s">
        <v>215</v>
      </c>
    </row>
    <row r="164" spans="1:7" x14ac:dyDescent="0.2">
      <c r="A164" s="64">
        <v>4</v>
      </c>
      <c r="B164" s="64">
        <f>IFERROR(ROUND(tblTransportation[[#This Row],[Amount]],2)*VLOOKUP(tblTransportation[[#This Row],[Period]],Periods,2,0),"")</f>
        <v>0</v>
      </c>
      <c r="C164" s="65" t="s">
        <v>256</v>
      </c>
      <c r="D164" s="65">
        <v>0</v>
      </c>
      <c r="E164" s="65" t="s">
        <v>215</v>
      </c>
    </row>
    <row r="165" spans="1:7" x14ac:dyDescent="0.2">
      <c r="A165" s="64">
        <v>5</v>
      </c>
      <c r="B165" s="64">
        <f>IFERROR(ROUND(tblTransportation[[#This Row],[Amount]],2)*VLOOKUP(tblTransportation[[#This Row],[Period]],Periods,2,0),"")</f>
        <v>0</v>
      </c>
      <c r="C165" s="65" t="s">
        <v>256</v>
      </c>
      <c r="D165" s="65">
        <v>0</v>
      </c>
      <c r="E165" s="65" t="s">
        <v>215</v>
      </c>
    </row>
    <row r="166" spans="1:7" x14ac:dyDescent="0.2">
      <c r="A166" s="64">
        <v>6</v>
      </c>
      <c r="B166" s="64">
        <f>IFERROR(ROUND(tblTransportation[[#This Row],[Amount]],2)*VLOOKUP(tblTransportation[[#This Row],[Period]],Periods,2,0),"")</f>
        <v>0</v>
      </c>
      <c r="C166" s="65" t="s">
        <v>256</v>
      </c>
      <c r="D166" s="65">
        <v>0</v>
      </c>
      <c r="E166" s="65" t="s">
        <v>215</v>
      </c>
    </row>
    <row r="167" spans="1:7" x14ac:dyDescent="0.2">
      <c r="A167" s="64">
        <v>7</v>
      </c>
      <c r="B167" s="64">
        <f>IFERROR(ROUND(tblTransportation[[#This Row],[Amount]],2)*VLOOKUP(tblTransportation[[#This Row],[Period]],Periods,2,0),"")</f>
        <v>0</v>
      </c>
      <c r="C167" s="65" t="s">
        <v>256</v>
      </c>
      <c r="D167" s="65">
        <v>0</v>
      </c>
      <c r="E167" s="65" t="s">
        <v>215</v>
      </c>
    </row>
    <row r="168" spans="1:7" x14ac:dyDescent="0.2">
      <c r="A168" s="64">
        <v>8</v>
      </c>
      <c r="B168" s="64">
        <f>IFERROR(ROUND(tblTransportation[[#This Row],[Amount]],2)*VLOOKUP(tblTransportation[[#This Row],[Period]],Periods,2,0),"")</f>
        <v>0</v>
      </c>
      <c r="C168" s="65" t="s">
        <v>256</v>
      </c>
      <c r="D168" s="65">
        <v>0</v>
      </c>
      <c r="E168" s="65" t="s">
        <v>215</v>
      </c>
    </row>
    <row r="169" spans="1:7" x14ac:dyDescent="0.2">
      <c r="A169" s="64">
        <v>9</v>
      </c>
      <c r="B169" s="64">
        <f>IFERROR(ROUND(tblTransportation[[#This Row],[Amount]],2)*VLOOKUP(tblTransportation[[#This Row],[Period]],Periods,2,0),"")</f>
        <v>0</v>
      </c>
      <c r="C169" s="65" t="s">
        <v>256</v>
      </c>
      <c r="D169" s="65">
        <v>0</v>
      </c>
      <c r="E169" s="65" t="s">
        <v>215</v>
      </c>
    </row>
    <row r="170" spans="1:7" x14ac:dyDescent="0.2">
      <c r="A170" s="69">
        <v>10</v>
      </c>
      <c r="B170" s="69">
        <f>IFERROR(ROUND(tblTransportation[[#This Row],[Amount]],2)*VLOOKUP(tblTransportation[[#This Row],[Period]],Periods,2,0),"")</f>
        <v>0</v>
      </c>
      <c r="C170" s="70" t="s">
        <v>256</v>
      </c>
      <c r="D170" s="70">
        <v>0</v>
      </c>
      <c r="E170" s="70" t="s">
        <v>215</v>
      </c>
    </row>
    <row r="171" spans="1:7" ht="27" hidden="1" customHeight="1" x14ac:dyDescent="0.2">
      <c r="A171" s="73">
        <v>6.7209705796405367E-3</v>
      </c>
      <c r="B171" s="74"/>
      <c r="C171" s="74" t="s">
        <v>319</v>
      </c>
      <c r="D171" s="74">
        <f>ROUND(SUM(tblChildcare[Annual Total])/VLOOKUP(D5,TotalPeriods[],2,0),2)</f>
        <v>0</v>
      </c>
      <c r="E171" s="75">
        <f>IFERROR(D171/D10,0)</f>
        <v>0</v>
      </c>
      <c r="F171" s="123" t="str">
        <f>IF(E171&gt;0,IF(AND(E171&gt;0,E171&lt;=RulesOfThumb!D10),RulesOfThumb!B10,IF(AND(E171&gt;RulesOfThumb!F10,E171&lt;=RulesOfThumb!G10),RulesOfThumb!E10,IF(E171&gt;RulesOfThumb!I10,RulesOfThumb!H10,""))),"")</f>
        <v/>
      </c>
      <c r="G171" s="123"/>
    </row>
    <row r="172" spans="1:7" hidden="1" x14ac:dyDescent="0.2">
      <c r="A172" s="76" t="s">
        <v>223</v>
      </c>
      <c r="B172" s="76" t="s">
        <v>224</v>
      </c>
      <c r="C172" s="76" t="s">
        <v>225</v>
      </c>
      <c r="D172" s="76" t="s">
        <v>1</v>
      </c>
      <c r="E172" s="76" t="s">
        <v>226</v>
      </c>
    </row>
    <row r="173" spans="1:7" hidden="1" x14ac:dyDescent="0.2">
      <c r="A173" s="64" t="s">
        <v>320</v>
      </c>
      <c r="B173" s="64">
        <f>IFERROR(ROUND(tblChildcare[[#This Row],[Amount]],2)*VLOOKUP(tblChildcare[[#This Row],[Period]],Periods,2,0),"")</f>
        <v>0</v>
      </c>
      <c r="C173" s="64" t="s">
        <v>321</v>
      </c>
      <c r="D173" s="65">
        <v>0</v>
      </c>
      <c r="E173" s="65" t="s">
        <v>215</v>
      </c>
    </row>
    <row r="174" spans="1:7" ht="20.100000000000001" hidden="1" customHeight="1" x14ac:dyDescent="0.2">
      <c r="A174" s="64" t="s">
        <v>322</v>
      </c>
      <c r="B174" s="64">
        <f>IFERROR(ROUND(tblChildcare[[#This Row],[Amount]],2)*VLOOKUP(tblChildcare[[#This Row],[Period]],Periods,2,0),"")</f>
        <v>0</v>
      </c>
      <c r="C174" s="64" t="s">
        <v>323</v>
      </c>
      <c r="D174" s="65">
        <v>0</v>
      </c>
      <c r="E174" s="65" t="s">
        <v>215</v>
      </c>
    </row>
    <row r="175" spans="1:7" hidden="1" x14ac:dyDescent="0.2">
      <c r="A175" s="64" t="s">
        <v>324</v>
      </c>
      <c r="B175" s="64">
        <f>IFERROR(ROUND(tblChildcare[[#This Row],[Amount]],2)*VLOOKUP(tblChildcare[[#This Row],[Period]],Periods,2,0),"")</f>
        <v>0</v>
      </c>
      <c r="C175" s="64" t="s">
        <v>325</v>
      </c>
      <c r="D175" s="65">
        <v>0</v>
      </c>
      <c r="E175" s="65" t="s">
        <v>215</v>
      </c>
    </row>
    <row r="176" spans="1:7" hidden="1" x14ac:dyDescent="0.2">
      <c r="A176" s="64" t="s">
        <v>326</v>
      </c>
      <c r="B176" s="64">
        <f>IFERROR(ROUND(tblChildcare[[#This Row],[Amount]],2)*VLOOKUP(tblChildcare[[#This Row],[Period]],Periods,2,0),"")</f>
        <v>0</v>
      </c>
      <c r="C176" s="64" t="s">
        <v>327</v>
      </c>
      <c r="D176" s="65">
        <v>0</v>
      </c>
      <c r="E176" s="65" t="s">
        <v>215</v>
      </c>
    </row>
    <row r="177" spans="1:7" hidden="1" x14ac:dyDescent="0.2">
      <c r="A177" s="66"/>
      <c r="B177" s="66" t="str">
        <f>IFERROR(ROUND(tblChildcare[[#This Row],[Amount]],2)*VLOOKUP(tblChildcare[[#This Row],[Period]],Periods,2,0),"")</f>
        <v/>
      </c>
      <c r="C177" s="67" t="s">
        <v>255</v>
      </c>
      <c r="D177" s="68"/>
      <c r="E177" s="68"/>
    </row>
    <row r="178" spans="1:7" hidden="1" x14ac:dyDescent="0.2">
      <c r="A178" s="64">
        <v>1</v>
      </c>
      <c r="B178" s="64">
        <f>IFERROR(ROUND(tblChildcare[[#This Row],[Amount]],2)*VLOOKUP(tblChildcare[[#This Row],[Period]],Periods,2,0),"")</f>
        <v>0</v>
      </c>
      <c r="C178" s="65" t="s">
        <v>256</v>
      </c>
      <c r="D178" s="65">
        <v>0</v>
      </c>
      <c r="E178" s="65" t="s">
        <v>215</v>
      </c>
    </row>
    <row r="179" spans="1:7" hidden="1" x14ac:dyDescent="0.2">
      <c r="A179" s="64">
        <v>2</v>
      </c>
      <c r="B179" s="64">
        <f>IFERROR(ROUND(tblChildcare[[#This Row],[Amount]],2)*VLOOKUP(tblChildcare[[#This Row],[Period]],Periods,2,0),"")</f>
        <v>0</v>
      </c>
      <c r="C179" s="65" t="s">
        <v>256</v>
      </c>
      <c r="D179" s="65">
        <v>0</v>
      </c>
      <c r="E179" s="65" t="s">
        <v>215</v>
      </c>
    </row>
    <row r="180" spans="1:7" hidden="1" x14ac:dyDescent="0.2">
      <c r="A180" s="64">
        <v>3</v>
      </c>
      <c r="B180" s="64">
        <f>IFERROR(ROUND(tblChildcare[[#This Row],[Amount]],2)*VLOOKUP(tblChildcare[[#This Row],[Period]],Periods,2,0),"")</f>
        <v>0</v>
      </c>
      <c r="C180" s="65" t="s">
        <v>256</v>
      </c>
      <c r="D180" s="65">
        <v>0</v>
      </c>
      <c r="E180" s="65" t="s">
        <v>215</v>
      </c>
    </row>
    <row r="181" spans="1:7" hidden="1" x14ac:dyDescent="0.2">
      <c r="A181" s="64">
        <v>4</v>
      </c>
      <c r="B181" s="64">
        <f>IFERROR(ROUND(tblChildcare[[#This Row],[Amount]],2)*VLOOKUP(tblChildcare[[#This Row],[Period]],Periods,2,0),"")</f>
        <v>0</v>
      </c>
      <c r="C181" s="65" t="s">
        <v>256</v>
      </c>
      <c r="D181" s="65">
        <v>0</v>
      </c>
      <c r="E181" s="65" t="s">
        <v>215</v>
      </c>
    </row>
    <row r="182" spans="1:7" hidden="1" x14ac:dyDescent="0.2">
      <c r="A182" s="64">
        <v>5</v>
      </c>
      <c r="B182" s="64">
        <f>IFERROR(ROUND(tblChildcare[[#This Row],[Amount]],2)*VLOOKUP(tblChildcare[[#This Row],[Period]],Periods,2,0),"")</f>
        <v>0</v>
      </c>
      <c r="C182" s="65" t="s">
        <v>256</v>
      </c>
      <c r="D182" s="65">
        <v>0</v>
      </c>
      <c r="E182" s="65" t="s">
        <v>215</v>
      </c>
    </row>
    <row r="183" spans="1:7" hidden="1" x14ac:dyDescent="0.2">
      <c r="A183" s="64">
        <v>6</v>
      </c>
      <c r="B183" s="64">
        <f>IFERROR(ROUND(tblChildcare[[#This Row],[Amount]],2)*VLOOKUP(tblChildcare[[#This Row],[Period]],Periods,2,0),"")</f>
        <v>0</v>
      </c>
      <c r="C183" s="65" t="s">
        <v>256</v>
      </c>
      <c r="D183" s="65">
        <v>0</v>
      </c>
      <c r="E183" s="65" t="s">
        <v>215</v>
      </c>
    </row>
    <row r="184" spans="1:7" hidden="1" x14ac:dyDescent="0.2">
      <c r="A184" s="64">
        <v>7</v>
      </c>
      <c r="B184" s="64">
        <f>IFERROR(ROUND(tblChildcare[[#This Row],[Amount]],2)*VLOOKUP(tblChildcare[[#This Row],[Period]],Periods,2,0),"")</f>
        <v>0</v>
      </c>
      <c r="C184" s="65" t="s">
        <v>256</v>
      </c>
      <c r="D184" s="65">
        <v>0</v>
      </c>
      <c r="E184" s="65" t="s">
        <v>215</v>
      </c>
    </row>
    <row r="185" spans="1:7" hidden="1" x14ac:dyDescent="0.2">
      <c r="A185" s="64">
        <v>8</v>
      </c>
      <c r="B185" s="64">
        <f>IFERROR(ROUND(tblChildcare[[#This Row],[Amount]],2)*VLOOKUP(tblChildcare[[#This Row],[Period]],Periods,2,0),"")</f>
        <v>0</v>
      </c>
      <c r="C185" s="65" t="s">
        <v>256</v>
      </c>
      <c r="D185" s="65">
        <v>0</v>
      </c>
      <c r="E185" s="65" t="s">
        <v>215</v>
      </c>
    </row>
    <row r="186" spans="1:7" hidden="1" x14ac:dyDescent="0.2">
      <c r="A186" s="64">
        <v>9</v>
      </c>
      <c r="B186" s="64">
        <f>IFERROR(ROUND(tblChildcare[[#This Row],[Amount]],2)*VLOOKUP(tblChildcare[[#This Row],[Period]],Periods,2,0),"")</f>
        <v>0</v>
      </c>
      <c r="C186" s="65" t="s">
        <v>256</v>
      </c>
      <c r="D186" s="65">
        <v>0</v>
      </c>
      <c r="E186" s="65" t="s">
        <v>215</v>
      </c>
    </row>
    <row r="187" spans="1:7" hidden="1" x14ac:dyDescent="0.2">
      <c r="A187" s="69">
        <v>10</v>
      </c>
      <c r="B187" s="69">
        <f>IFERROR(ROUND(tblChildcare[[#This Row],[Amount]],2)*VLOOKUP(tblChildcare[[#This Row],[Period]],Periods,2,0),"")</f>
        <v>0</v>
      </c>
      <c r="C187" s="70" t="s">
        <v>256</v>
      </c>
      <c r="D187" s="70">
        <v>0</v>
      </c>
      <c r="E187" s="70" t="s">
        <v>215</v>
      </c>
    </row>
    <row r="188" spans="1:7" ht="27" customHeight="1" x14ac:dyDescent="0.2">
      <c r="A188" s="73">
        <v>2.9784055080538083E-2</v>
      </c>
      <c r="B188" s="74"/>
      <c r="C188" s="109" t="s">
        <v>62</v>
      </c>
      <c r="D188" s="109">
        <f>ROUND(SUM(tblEducation[Annual Total])/VLOOKUP(D5,TotalPeriods[],2,0),2)</f>
        <v>0</v>
      </c>
      <c r="E188" s="110">
        <f>IFERROR(D188/D10,0)</f>
        <v>0</v>
      </c>
      <c r="F188" s="123" t="str">
        <f>IF(E188&gt;0,IF(AND(E188&gt;0,E188&lt;=RulesOfThumb!D11),RulesOfThumb!B11,IF(AND(E188&gt;RulesOfThumb!F11,E188&lt;=RulesOfThumb!G11),RulesOfThumb!E11,IF(E188&gt;RulesOfThumb!I11,RulesOfThumb!H11,""))),"")</f>
        <v/>
      </c>
      <c r="G188" s="123"/>
    </row>
    <row r="189" spans="1:7" x14ac:dyDescent="0.2">
      <c r="A189" s="76" t="s">
        <v>223</v>
      </c>
      <c r="B189" s="76" t="s">
        <v>224</v>
      </c>
      <c r="C189" s="102" t="s">
        <v>225</v>
      </c>
      <c r="D189" s="102" t="s">
        <v>1</v>
      </c>
      <c r="E189" s="102" t="s">
        <v>226</v>
      </c>
    </row>
    <row r="190" spans="1:7" x14ac:dyDescent="0.2">
      <c r="A190" s="64" t="s">
        <v>176</v>
      </c>
      <c r="B190" s="64">
        <f>IFERROR(ROUND(tblEducation[[#This Row],[Amount]],2)*VLOOKUP(tblEducation[[#This Row],[Period]],Periods,2,0),"")</f>
        <v>0</v>
      </c>
      <c r="C190" s="64" t="s">
        <v>176</v>
      </c>
      <c r="D190" s="65">
        <v>0</v>
      </c>
      <c r="E190" s="65" t="s">
        <v>268</v>
      </c>
    </row>
    <row r="191" spans="1:7" x14ac:dyDescent="0.2">
      <c r="A191" s="64" t="s">
        <v>328</v>
      </c>
      <c r="B191" s="64">
        <f>IFERROR(ROUND(tblEducation[[#This Row],[Amount]],2)*VLOOKUP(tblEducation[[#This Row],[Period]],Periods,2,0),"")</f>
        <v>0</v>
      </c>
      <c r="C191" s="64" t="s">
        <v>329</v>
      </c>
      <c r="D191" s="65">
        <v>0</v>
      </c>
      <c r="E191" s="65" t="s">
        <v>268</v>
      </c>
    </row>
    <row r="192" spans="1:7" ht="15" hidden="1" customHeight="1" x14ac:dyDescent="0.2">
      <c r="A192" s="64" t="s">
        <v>330</v>
      </c>
      <c r="B192" s="64">
        <f>IFERROR(ROUND(tblEducation[[#This Row],[Amount]],2)*VLOOKUP(tblEducation[[#This Row],[Period]],Periods,2,0),"")</f>
        <v>0</v>
      </c>
      <c r="C192" s="64" t="s">
        <v>331</v>
      </c>
      <c r="D192" s="65">
        <v>0</v>
      </c>
      <c r="E192" s="65" t="s">
        <v>268</v>
      </c>
    </row>
    <row r="193" spans="1:7" ht="15" customHeight="1" x14ac:dyDescent="0.2">
      <c r="A193" s="66"/>
      <c r="B193" s="66" t="str">
        <f>IFERROR(ROUND(tblEducation[[#This Row],[Amount]],2)*VLOOKUP(tblEducation[[#This Row],[Period]],Periods,2,0),"")</f>
        <v/>
      </c>
      <c r="C193" s="67" t="s">
        <v>255</v>
      </c>
      <c r="D193" s="68"/>
      <c r="E193" s="68"/>
    </row>
    <row r="194" spans="1:7" x14ac:dyDescent="0.2">
      <c r="A194" s="64">
        <v>1</v>
      </c>
      <c r="B194" s="64">
        <f>IFERROR(ROUND(tblEducation[[#This Row],[Amount]],2)*VLOOKUP(tblEducation[[#This Row],[Period]],Periods,2,0),"")</f>
        <v>0</v>
      </c>
      <c r="C194" s="65" t="s">
        <v>256</v>
      </c>
      <c r="D194" s="65">
        <v>0</v>
      </c>
      <c r="E194" s="65" t="s">
        <v>268</v>
      </c>
    </row>
    <row r="195" spans="1:7" x14ac:dyDescent="0.2">
      <c r="A195" s="64">
        <v>2</v>
      </c>
      <c r="B195" s="64">
        <f>IFERROR(ROUND(tblEducation[[#This Row],[Amount]],2)*VLOOKUP(tblEducation[[#This Row],[Period]],Periods,2,0),"")</f>
        <v>0</v>
      </c>
      <c r="C195" s="65" t="s">
        <v>256</v>
      </c>
      <c r="D195" s="65">
        <v>0</v>
      </c>
      <c r="E195" s="65" t="s">
        <v>268</v>
      </c>
    </row>
    <row r="196" spans="1:7" x14ac:dyDescent="0.2">
      <c r="A196" s="64">
        <v>3</v>
      </c>
      <c r="B196" s="64">
        <f>IFERROR(ROUND(tblEducation[[#This Row],[Amount]],2)*VLOOKUP(tblEducation[[#This Row],[Period]],Periods,2,0),"")</f>
        <v>0</v>
      </c>
      <c r="C196" s="65" t="s">
        <v>256</v>
      </c>
      <c r="D196" s="65">
        <v>0</v>
      </c>
      <c r="E196" s="65" t="s">
        <v>268</v>
      </c>
    </row>
    <row r="197" spans="1:7" x14ac:dyDescent="0.2">
      <c r="A197" s="64">
        <v>4</v>
      </c>
      <c r="B197" s="64">
        <f>IFERROR(ROUND(tblEducation[[#This Row],[Amount]],2)*VLOOKUP(tblEducation[[#This Row],[Period]],Periods,2,0),"")</f>
        <v>0</v>
      </c>
      <c r="C197" s="65" t="s">
        <v>256</v>
      </c>
      <c r="D197" s="65">
        <v>0</v>
      </c>
      <c r="E197" s="65" t="s">
        <v>268</v>
      </c>
    </row>
    <row r="198" spans="1:7" x14ac:dyDescent="0.2">
      <c r="A198" s="64">
        <v>5</v>
      </c>
      <c r="B198" s="64">
        <f>IFERROR(ROUND(tblEducation[[#This Row],[Amount]],2)*VLOOKUP(tblEducation[[#This Row],[Period]],Periods,2,0),"")</f>
        <v>0</v>
      </c>
      <c r="C198" s="65" t="s">
        <v>256</v>
      </c>
      <c r="D198" s="65">
        <v>0</v>
      </c>
      <c r="E198" s="65" t="s">
        <v>268</v>
      </c>
    </row>
    <row r="199" spans="1:7" x14ac:dyDescent="0.2">
      <c r="A199" s="64">
        <v>6</v>
      </c>
      <c r="B199" s="64">
        <f>IFERROR(ROUND(tblEducation[[#This Row],[Amount]],2)*VLOOKUP(tblEducation[[#This Row],[Period]],Periods,2,0),"")</f>
        <v>0</v>
      </c>
      <c r="C199" s="65" t="s">
        <v>256</v>
      </c>
      <c r="D199" s="65">
        <v>0</v>
      </c>
      <c r="E199" s="65" t="s">
        <v>268</v>
      </c>
    </row>
    <row r="200" spans="1:7" x14ac:dyDescent="0.2">
      <c r="A200" s="64">
        <v>7</v>
      </c>
      <c r="B200" s="64">
        <f>IFERROR(ROUND(tblEducation[[#This Row],[Amount]],2)*VLOOKUP(tblEducation[[#This Row],[Period]],Periods,2,0),"")</f>
        <v>0</v>
      </c>
      <c r="C200" s="65" t="s">
        <v>256</v>
      </c>
      <c r="D200" s="65">
        <v>0</v>
      </c>
      <c r="E200" s="65" t="s">
        <v>268</v>
      </c>
    </row>
    <row r="201" spans="1:7" x14ac:dyDescent="0.2">
      <c r="A201" s="64">
        <v>8</v>
      </c>
      <c r="B201" s="64">
        <f>IFERROR(ROUND(tblEducation[[#This Row],[Amount]],2)*VLOOKUP(tblEducation[[#This Row],[Period]],Periods,2,0),"")</f>
        <v>0</v>
      </c>
      <c r="C201" s="65" t="s">
        <v>256</v>
      </c>
      <c r="D201" s="65">
        <v>0</v>
      </c>
      <c r="E201" s="65" t="s">
        <v>268</v>
      </c>
    </row>
    <row r="202" spans="1:7" x14ac:dyDescent="0.2">
      <c r="A202" s="64">
        <v>9</v>
      </c>
      <c r="B202" s="64">
        <f>IFERROR(ROUND(tblEducation[[#This Row],[Amount]],2)*VLOOKUP(tblEducation[[#This Row],[Period]],Periods,2,0),"")</f>
        <v>0</v>
      </c>
      <c r="C202" s="65" t="s">
        <v>256</v>
      </c>
      <c r="D202" s="65">
        <v>0</v>
      </c>
      <c r="E202" s="65" t="s">
        <v>268</v>
      </c>
    </row>
    <row r="203" spans="1:7" x14ac:dyDescent="0.2">
      <c r="A203" s="69">
        <v>10</v>
      </c>
      <c r="B203" s="69">
        <f>IFERROR(ROUND(tblEducation[[#This Row],[Amount]],2)*VLOOKUP(tblEducation[[#This Row],[Period]],Periods,2,0),"")</f>
        <v>0</v>
      </c>
      <c r="C203" s="70" t="s">
        <v>256</v>
      </c>
      <c r="D203" s="70">
        <v>0</v>
      </c>
      <c r="E203" s="70" t="s">
        <v>268</v>
      </c>
    </row>
    <row r="204" spans="1:7" ht="27" customHeight="1" x14ac:dyDescent="0.2">
      <c r="A204" s="73">
        <v>0.10499039287220184</v>
      </c>
      <c r="B204" s="74"/>
      <c r="C204" s="109" t="s">
        <v>179</v>
      </c>
      <c r="D204" s="109">
        <f>ROUND(SUM(tblRecreation[Annual Total])/VLOOKUP(D5,TotalPeriods[],2,0),2)</f>
        <v>0</v>
      </c>
      <c r="E204" s="110">
        <f>IFERROR(D204/D10,0)</f>
        <v>0</v>
      </c>
      <c r="F204" s="123" t="str">
        <f>IF(E204&gt;0,IF(AND(E204&gt;0,E204&lt;=RulesOfThumb!D12),RulesOfThumb!B12,IF(AND(E204&gt;RulesOfThumb!F12,E204&lt;=RulesOfThumb!G12),RulesOfThumb!E12,IF(E204&gt;RulesOfThumb!I12,RulesOfThumb!H12,""))),"")</f>
        <v/>
      </c>
      <c r="G204" s="123"/>
    </row>
    <row r="205" spans="1:7" x14ac:dyDescent="0.2">
      <c r="A205" s="76" t="s">
        <v>223</v>
      </c>
      <c r="B205" s="76" t="s">
        <v>224</v>
      </c>
      <c r="C205" s="102" t="s">
        <v>225</v>
      </c>
      <c r="D205" s="102" t="s">
        <v>1</v>
      </c>
      <c r="E205" s="102" t="s">
        <v>226</v>
      </c>
    </row>
    <row r="206" spans="1:7" x14ac:dyDescent="0.2">
      <c r="A206" s="64" t="s">
        <v>332</v>
      </c>
      <c r="B206" s="64">
        <f>IFERROR(ROUND(tblRecreation[[#This Row],[Amount]],2)*VLOOKUP(tblRecreation[[#This Row],[Period]],Periods,2,0),"")</f>
        <v>0</v>
      </c>
      <c r="C206" s="64" t="s">
        <v>333</v>
      </c>
      <c r="D206" s="65">
        <v>0</v>
      </c>
      <c r="E206" s="65" t="s">
        <v>268</v>
      </c>
    </row>
    <row r="207" spans="1:7" x14ac:dyDescent="0.2">
      <c r="A207" s="64" t="s">
        <v>180</v>
      </c>
      <c r="B207" s="64">
        <f>IFERROR(ROUND(tblRecreation[[#This Row],[Amount]],2)*VLOOKUP(tblRecreation[[#This Row],[Period]],Periods,2,0),"")</f>
        <v>0</v>
      </c>
      <c r="C207" s="64" t="s">
        <v>334</v>
      </c>
      <c r="D207" s="65">
        <v>0</v>
      </c>
      <c r="E207" s="65" t="s">
        <v>268</v>
      </c>
    </row>
    <row r="208" spans="1:7" hidden="1" x14ac:dyDescent="0.2">
      <c r="A208" s="64" t="s">
        <v>335</v>
      </c>
      <c r="B208" s="64">
        <f>IFERROR(ROUND(tblRecreation[[#This Row],[Amount]],2)*VLOOKUP(tblRecreation[[#This Row],[Period]],Periods,2,0),"")</f>
        <v>0</v>
      </c>
      <c r="C208" s="64" t="s">
        <v>336</v>
      </c>
      <c r="D208" s="65">
        <v>0</v>
      </c>
      <c r="E208" s="65" t="s">
        <v>215</v>
      </c>
    </row>
    <row r="209" spans="1:5" x14ac:dyDescent="0.2">
      <c r="A209" s="64" t="s">
        <v>337</v>
      </c>
      <c r="B209" s="64">
        <f>IFERROR(ROUND(tblRecreation[[#This Row],[Amount]],2)*VLOOKUP(tblRecreation[[#This Row],[Period]],Periods,2,0),"")</f>
        <v>0</v>
      </c>
      <c r="C209" s="64" t="s">
        <v>338</v>
      </c>
      <c r="D209" s="65">
        <v>0</v>
      </c>
      <c r="E209" s="65" t="s">
        <v>215</v>
      </c>
    </row>
    <row r="210" spans="1:5" x14ac:dyDescent="0.2">
      <c r="A210" s="64" t="s">
        <v>339</v>
      </c>
      <c r="B210" s="64">
        <f>IFERROR(ROUND(tblRecreation[[#This Row],[Amount]],2)*VLOOKUP(tblRecreation[[#This Row],[Period]],Periods,2,0),"")</f>
        <v>0</v>
      </c>
      <c r="C210" s="64" t="s">
        <v>340</v>
      </c>
      <c r="D210" s="65">
        <v>0</v>
      </c>
      <c r="E210" s="65" t="s">
        <v>215</v>
      </c>
    </row>
    <row r="211" spans="1:5" x14ac:dyDescent="0.2">
      <c r="A211" s="64" t="s">
        <v>341</v>
      </c>
      <c r="B211" s="64">
        <f>IFERROR(ROUND(tblRecreation[[#This Row],[Amount]],2)*VLOOKUP(tblRecreation[[#This Row],[Period]],Periods,2,0),"")</f>
        <v>0</v>
      </c>
      <c r="C211" s="64" t="s">
        <v>342</v>
      </c>
      <c r="D211" s="65">
        <v>0</v>
      </c>
      <c r="E211" s="65" t="s">
        <v>215</v>
      </c>
    </row>
    <row r="212" spans="1:5" x14ac:dyDescent="0.2">
      <c r="A212" s="64" t="s">
        <v>343</v>
      </c>
      <c r="B212" s="64">
        <f>IFERROR(ROUND(tblRecreation[[#This Row],[Amount]],2)*VLOOKUP(tblRecreation[[#This Row],[Period]],Periods,2,0),"")</f>
        <v>0</v>
      </c>
      <c r="C212" s="64" t="s">
        <v>343</v>
      </c>
      <c r="D212" s="65">
        <v>0</v>
      </c>
      <c r="E212" s="65" t="s">
        <v>215</v>
      </c>
    </row>
    <row r="213" spans="1:5" x14ac:dyDescent="0.2">
      <c r="A213" s="64" t="s">
        <v>344</v>
      </c>
      <c r="B213" s="64">
        <f>IFERROR(ROUND(tblRecreation[[#This Row],[Amount]],2)*VLOOKUP(tblRecreation[[#This Row],[Period]],Periods,2,0),"")</f>
        <v>0</v>
      </c>
      <c r="C213" s="64" t="s">
        <v>345</v>
      </c>
      <c r="D213" s="65">
        <v>0</v>
      </c>
      <c r="E213" s="65" t="s">
        <v>215</v>
      </c>
    </row>
    <row r="214" spans="1:5" x14ac:dyDescent="0.2">
      <c r="A214" s="66"/>
      <c r="B214" s="66" t="str">
        <f>IFERROR(ROUND(tblRecreation[[#This Row],[Amount]],2)*VLOOKUP(tblRecreation[[#This Row],[Period]],Periods,2,0),"")</f>
        <v/>
      </c>
      <c r="C214" s="67" t="s">
        <v>255</v>
      </c>
      <c r="D214" s="68"/>
      <c r="E214" s="68"/>
    </row>
    <row r="215" spans="1:5" x14ac:dyDescent="0.2">
      <c r="A215" s="64">
        <v>1</v>
      </c>
      <c r="B215" s="64">
        <f>IFERROR(ROUND(tblRecreation[[#This Row],[Amount]],2)*VLOOKUP(tblRecreation[[#This Row],[Period]],Periods,2,0),"")</f>
        <v>0</v>
      </c>
      <c r="C215" s="65" t="s">
        <v>256</v>
      </c>
      <c r="D215" s="65">
        <v>0</v>
      </c>
      <c r="E215" s="65" t="s">
        <v>215</v>
      </c>
    </row>
    <row r="216" spans="1:5" x14ac:dyDescent="0.2">
      <c r="A216" s="64">
        <v>2</v>
      </c>
      <c r="B216" s="64">
        <f>IFERROR(ROUND(tblRecreation[[#This Row],[Amount]],2)*VLOOKUP(tblRecreation[[#This Row],[Period]],Periods,2,0),"")</f>
        <v>0</v>
      </c>
      <c r="C216" s="65" t="s">
        <v>256</v>
      </c>
      <c r="D216" s="65">
        <v>0</v>
      </c>
      <c r="E216" s="65" t="s">
        <v>215</v>
      </c>
    </row>
    <row r="217" spans="1:5" x14ac:dyDescent="0.2">
      <c r="A217" s="64">
        <v>3</v>
      </c>
      <c r="B217" s="64">
        <f>IFERROR(ROUND(tblRecreation[[#This Row],[Amount]],2)*VLOOKUP(tblRecreation[[#This Row],[Period]],Periods,2,0),"")</f>
        <v>0</v>
      </c>
      <c r="C217" s="65" t="s">
        <v>256</v>
      </c>
      <c r="D217" s="65">
        <v>0</v>
      </c>
      <c r="E217" s="65" t="s">
        <v>215</v>
      </c>
    </row>
    <row r="218" spans="1:5" x14ac:dyDescent="0.2">
      <c r="A218" s="64">
        <v>4</v>
      </c>
      <c r="B218" s="64">
        <f>IFERROR(ROUND(tblRecreation[[#This Row],[Amount]],2)*VLOOKUP(tblRecreation[[#This Row],[Period]],Periods,2,0),"")</f>
        <v>0</v>
      </c>
      <c r="C218" s="65" t="s">
        <v>256</v>
      </c>
      <c r="D218" s="65">
        <v>0</v>
      </c>
      <c r="E218" s="65" t="s">
        <v>215</v>
      </c>
    </row>
    <row r="219" spans="1:5" x14ac:dyDescent="0.2">
      <c r="A219" s="64">
        <v>5</v>
      </c>
      <c r="B219" s="64">
        <f>IFERROR(ROUND(tblRecreation[[#This Row],[Amount]],2)*VLOOKUP(tblRecreation[[#This Row],[Period]],Periods,2,0),"")</f>
        <v>0</v>
      </c>
      <c r="C219" s="65" t="s">
        <v>256</v>
      </c>
      <c r="D219" s="65">
        <v>0</v>
      </c>
      <c r="E219" s="65" t="s">
        <v>215</v>
      </c>
    </row>
    <row r="220" spans="1:5" x14ac:dyDescent="0.2">
      <c r="A220" s="64">
        <v>6</v>
      </c>
      <c r="B220" s="64">
        <f>IFERROR(ROUND(tblRecreation[[#This Row],[Amount]],2)*VLOOKUP(tblRecreation[[#This Row],[Period]],Periods,2,0),"")</f>
        <v>0</v>
      </c>
      <c r="C220" s="65" t="s">
        <v>256</v>
      </c>
      <c r="D220" s="65">
        <v>0</v>
      </c>
      <c r="E220" s="65" t="s">
        <v>215</v>
      </c>
    </row>
    <row r="221" spans="1:5" x14ac:dyDescent="0.2">
      <c r="A221" s="64">
        <v>7</v>
      </c>
      <c r="B221" s="64">
        <f>IFERROR(ROUND(tblRecreation[[#This Row],[Amount]],2)*VLOOKUP(tblRecreation[[#This Row],[Period]],Periods,2,0),"")</f>
        <v>0</v>
      </c>
      <c r="C221" s="65" t="s">
        <v>256</v>
      </c>
      <c r="D221" s="65">
        <v>0</v>
      </c>
      <c r="E221" s="65" t="s">
        <v>215</v>
      </c>
    </row>
    <row r="222" spans="1:5" x14ac:dyDescent="0.2">
      <c r="A222" s="64">
        <v>8</v>
      </c>
      <c r="B222" s="64">
        <f>IFERROR(ROUND(tblRecreation[[#This Row],[Amount]],2)*VLOOKUP(tblRecreation[[#This Row],[Period]],Periods,2,0),"")</f>
        <v>0</v>
      </c>
      <c r="C222" s="65" t="s">
        <v>256</v>
      </c>
      <c r="D222" s="65">
        <v>0</v>
      </c>
      <c r="E222" s="65" t="s">
        <v>215</v>
      </c>
    </row>
    <row r="223" spans="1:5" x14ac:dyDescent="0.2">
      <c r="A223" s="64">
        <v>9</v>
      </c>
      <c r="B223" s="64">
        <f>IFERROR(ROUND(tblRecreation[[#This Row],[Amount]],2)*VLOOKUP(tblRecreation[[#This Row],[Period]],Periods,2,0),"")</f>
        <v>0</v>
      </c>
      <c r="C223" s="65" t="s">
        <v>256</v>
      </c>
      <c r="D223" s="65">
        <v>0</v>
      </c>
      <c r="E223" s="65" t="s">
        <v>215</v>
      </c>
    </row>
    <row r="224" spans="1:5" x14ac:dyDescent="0.2">
      <c r="A224" s="69">
        <v>10</v>
      </c>
      <c r="B224" s="69">
        <f>IFERROR(ROUND(tblRecreation[[#This Row],[Amount]],2)*VLOOKUP(tblRecreation[[#This Row],[Period]],Periods,2,0),"")</f>
        <v>0</v>
      </c>
      <c r="C224" s="70" t="s">
        <v>256</v>
      </c>
      <c r="D224" s="70">
        <v>0</v>
      </c>
      <c r="E224" s="70" t="s">
        <v>215</v>
      </c>
    </row>
    <row r="225" spans="1:7" ht="27" customHeight="1" x14ac:dyDescent="0.2">
      <c r="A225" s="73">
        <v>1.9316170414629925E-2</v>
      </c>
      <c r="B225" s="74"/>
      <c r="C225" s="109" t="s">
        <v>346</v>
      </c>
      <c r="D225" s="109">
        <f>ROUND(SUM(tblPersonalCare[Annual Total])/VLOOKUP(D5,TotalPeriods[],2,0),2)</f>
        <v>0</v>
      </c>
      <c r="E225" s="110">
        <f>IFERROR(D225/D10,0)</f>
        <v>0</v>
      </c>
      <c r="F225" s="123" t="str">
        <f>IF(E225&gt;0,IF(AND(E225&gt;0,E225&lt;=RulesOfThumb!D13),RulesOfThumb!B13,IF(AND(E225&gt;RulesOfThumb!F13,E225&lt;=RulesOfThumb!G13),RulesOfThumb!E13,IF(E225&gt;RulesOfThumb!I13,RulesOfThumb!H13,""))),"")</f>
        <v/>
      </c>
      <c r="G225" s="123"/>
    </row>
    <row r="226" spans="1:7" x14ac:dyDescent="0.2">
      <c r="A226" s="76" t="s">
        <v>223</v>
      </c>
      <c r="B226" s="76" t="s">
        <v>224</v>
      </c>
      <c r="C226" s="102" t="s">
        <v>225</v>
      </c>
      <c r="D226" s="102" t="s">
        <v>1</v>
      </c>
      <c r="E226" s="102" t="s">
        <v>226</v>
      </c>
    </row>
    <row r="227" spans="1:7" x14ac:dyDescent="0.2">
      <c r="A227" s="64" t="s">
        <v>347</v>
      </c>
      <c r="B227" s="64">
        <f>IFERROR(ROUND(tblPersonalCare[[#This Row],[Amount]],2)*VLOOKUP(tblPersonalCare[[#This Row],[Period]],Periods,2,0),"")</f>
        <v>0</v>
      </c>
      <c r="C227" s="64" t="s">
        <v>348</v>
      </c>
      <c r="D227" s="65">
        <v>0</v>
      </c>
      <c r="E227" s="65" t="s">
        <v>215</v>
      </c>
    </row>
    <row r="228" spans="1:7" x14ac:dyDescent="0.2">
      <c r="A228" s="64" t="s">
        <v>349</v>
      </c>
      <c r="B228" s="64">
        <f>IFERROR(ROUND(tblPersonalCare[[#This Row],[Amount]],2)*VLOOKUP(tblPersonalCare[[#This Row],[Period]],Periods,2,0),"")</f>
        <v>0</v>
      </c>
      <c r="C228" s="64" t="s">
        <v>350</v>
      </c>
      <c r="D228" s="65">
        <v>0</v>
      </c>
      <c r="E228" s="65" t="s">
        <v>215</v>
      </c>
    </row>
    <row r="229" spans="1:7" x14ac:dyDescent="0.2">
      <c r="A229" s="64" t="s">
        <v>351</v>
      </c>
      <c r="B229" s="64">
        <f>IFERROR(ROUND(tblPersonalCare[[#This Row],[Amount]],2)*VLOOKUP(tblPersonalCare[[#This Row],[Period]],Periods,2,0),"")</f>
        <v>0</v>
      </c>
      <c r="C229" s="64" t="s">
        <v>352</v>
      </c>
      <c r="D229" s="65">
        <v>0</v>
      </c>
      <c r="E229" s="65" t="s">
        <v>215</v>
      </c>
    </row>
    <row r="230" spans="1:7" x14ac:dyDescent="0.2">
      <c r="A230" s="66"/>
      <c r="B230" s="66" t="str">
        <f>IFERROR(ROUND(tblPersonalCare[[#This Row],[Amount]],2)*VLOOKUP(tblPersonalCare[[#This Row],[Period]],Periods,2,0),"")</f>
        <v/>
      </c>
      <c r="C230" s="67" t="s">
        <v>255</v>
      </c>
      <c r="D230" s="68"/>
      <c r="E230" s="68"/>
    </row>
    <row r="231" spans="1:7" ht="15" customHeight="1" x14ac:dyDescent="0.2">
      <c r="A231" s="64">
        <v>1</v>
      </c>
      <c r="B231" s="64">
        <f>IFERROR(ROUND(tblPersonalCare[[#This Row],[Amount]],2)*VLOOKUP(tblPersonalCare[[#This Row],[Period]],Periods,2,0),"")</f>
        <v>0</v>
      </c>
      <c r="C231" s="65" t="s">
        <v>256</v>
      </c>
      <c r="D231" s="65">
        <v>0</v>
      </c>
      <c r="E231" s="65" t="s">
        <v>215</v>
      </c>
    </row>
    <row r="232" spans="1:7" ht="15" customHeight="1" x14ac:dyDescent="0.2">
      <c r="A232" s="64">
        <v>2</v>
      </c>
      <c r="B232" s="64">
        <f>IFERROR(ROUND(tblPersonalCare[[#This Row],[Amount]],2)*VLOOKUP(tblPersonalCare[[#This Row],[Period]],Periods,2,0),"")</f>
        <v>0</v>
      </c>
      <c r="C232" s="65" t="s">
        <v>256</v>
      </c>
      <c r="D232" s="65">
        <v>0</v>
      </c>
      <c r="E232" s="65" t="s">
        <v>215</v>
      </c>
    </row>
    <row r="233" spans="1:7" ht="15" customHeight="1" x14ac:dyDescent="0.2">
      <c r="A233" s="64">
        <v>3</v>
      </c>
      <c r="B233" s="64">
        <f>IFERROR(ROUND(tblPersonalCare[[#This Row],[Amount]],2)*VLOOKUP(tblPersonalCare[[#This Row],[Period]],Periods,2,0),"")</f>
        <v>0</v>
      </c>
      <c r="C233" s="65" t="s">
        <v>256</v>
      </c>
      <c r="D233" s="65">
        <v>0</v>
      </c>
      <c r="E233" s="65" t="s">
        <v>215</v>
      </c>
    </row>
    <row r="234" spans="1:7" ht="15" customHeight="1" x14ac:dyDescent="0.2">
      <c r="A234" s="64">
        <v>4</v>
      </c>
      <c r="B234" s="64">
        <f>IFERROR(ROUND(tblPersonalCare[[#This Row],[Amount]],2)*VLOOKUP(tblPersonalCare[[#This Row],[Period]],Periods,2,0),"")</f>
        <v>0</v>
      </c>
      <c r="C234" s="65" t="s">
        <v>256</v>
      </c>
      <c r="D234" s="65">
        <v>0</v>
      </c>
      <c r="E234" s="65" t="s">
        <v>215</v>
      </c>
    </row>
    <row r="235" spans="1:7" ht="15" customHeight="1" x14ac:dyDescent="0.2">
      <c r="A235" s="64">
        <v>5</v>
      </c>
      <c r="B235" s="64">
        <f>IFERROR(ROUND(tblPersonalCare[[#This Row],[Amount]],2)*VLOOKUP(tblPersonalCare[[#This Row],[Period]],Periods,2,0),"")</f>
        <v>0</v>
      </c>
      <c r="C235" s="65" t="s">
        <v>256</v>
      </c>
      <c r="D235" s="65">
        <v>0</v>
      </c>
      <c r="E235" s="65" t="s">
        <v>215</v>
      </c>
    </row>
    <row r="236" spans="1:7" ht="15" customHeight="1" x14ac:dyDescent="0.2">
      <c r="A236" s="64">
        <v>6</v>
      </c>
      <c r="B236" s="64">
        <f>IFERROR(ROUND(tblPersonalCare[[#This Row],[Amount]],2)*VLOOKUP(tblPersonalCare[[#This Row],[Period]],Periods,2,0),"")</f>
        <v>0</v>
      </c>
      <c r="C236" s="65" t="s">
        <v>256</v>
      </c>
      <c r="D236" s="65">
        <v>0</v>
      </c>
      <c r="E236" s="65" t="s">
        <v>215</v>
      </c>
    </row>
    <row r="237" spans="1:7" ht="15" customHeight="1" x14ac:dyDescent="0.2">
      <c r="A237" s="64">
        <v>7</v>
      </c>
      <c r="B237" s="64">
        <f>IFERROR(ROUND(tblPersonalCare[[#This Row],[Amount]],2)*VLOOKUP(tblPersonalCare[[#This Row],[Period]],Periods,2,0),"")</f>
        <v>0</v>
      </c>
      <c r="C237" s="65" t="s">
        <v>256</v>
      </c>
      <c r="D237" s="65">
        <v>0</v>
      </c>
      <c r="E237" s="65" t="s">
        <v>215</v>
      </c>
    </row>
    <row r="238" spans="1:7" ht="15" customHeight="1" x14ac:dyDescent="0.2">
      <c r="A238" s="64">
        <v>8</v>
      </c>
      <c r="B238" s="64">
        <f>IFERROR(ROUND(tblPersonalCare[[#This Row],[Amount]],2)*VLOOKUP(tblPersonalCare[[#This Row],[Period]],Periods,2,0),"")</f>
        <v>0</v>
      </c>
      <c r="C238" s="65" t="s">
        <v>256</v>
      </c>
      <c r="D238" s="65">
        <v>0</v>
      </c>
      <c r="E238" s="65" t="s">
        <v>215</v>
      </c>
    </row>
    <row r="239" spans="1:7" ht="15" customHeight="1" x14ac:dyDescent="0.2">
      <c r="A239" s="64">
        <v>9</v>
      </c>
      <c r="B239" s="64">
        <f>IFERROR(ROUND(tblPersonalCare[[#This Row],[Amount]],2)*VLOOKUP(tblPersonalCare[[#This Row],[Period]],Periods,2,0),"")</f>
        <v>0</v>
      </c>
      <c r="C239" s="65" t="s">
        <v>256</v>
      </c>
      <c r="D239" s="65">
        <v>0</v>
      </c>
      <c r="E239" s="65" t="s">
        <v>215</v>
      </c>
    </row>
    <row r="240" spans="1:7" ht="15" customHeight="1" x14ac:dyDescent="0.2">
      <c r="A240" s="69">
        <v>10</v>
      </c>
      <c r="B240" s="69">
        <f>IFERROR(ROUND(tblPersonalCare[[#This Row],[Amount]],2)*VLOOKUP(tblPersonalCare[[#This Row],[Period]],Periods,2,0),"")</f>
        <v>0</v>
      </c>
      <c r="C240" s="70" t="s">
        <v>256</v>
      </c>
      <c r="D240" s="70">
        <v>0</v>
      </c>
      <c r="E240" s="70" t="s">
        <v>215</v>
      </c>
    </row>
    <row r="241" spans="1:7" ht="27" customHeight="1" x14ac:dyDescent="0.2">
      <c r="A241" s="73">
        <v>4.1893104458101182E-2</v>
      </c>
      <c r="B241" s="74"/>
      <c r="C241" s="109" t="s">
        <v>183</v>
      </c>
      <c r="D241" s="109">
        <f>ROUND(SUM(tblClothing[Annual Total])/VLOOKUP(D5,TotalPeriods[],2,0),2)</f>
        <v>0</v>
      </c>
      <c r="E241" s="110" t="str">
        <f>IF(D10&gt;0,IFERROR(D241/D10,0),"")</f>
        <v/>
      </c>
      <c r="F241" s="123" t="str">
        <f>IF(D10&gt;0,IF(E241&gt;0,IF(AND(E241&gt;0,E241&lt;=RulesOfThumb!D14),RulesOfThumb!B14,IF(AND(E241&gt;RulesOfThumb!F14,E241&lt;=RulesOfThumb!G14),RulesOfThumb!E14,IF(E241&gt;RulesOfThumb!I14,RulesOfThumb!H14,""))),RulesOfThumb!K14),"")</f>
        <v/>
      </c>
      <c r="G241" s="123"/>
    </row>
    <row r="242" spans="1:7" x14ac:dyDescent="0.2">
      <c r="A242" s="76" t="s">
        <v>223</v>
      </c>
      <c r="B242" s="76" t="s">
        <v>224</v>
      </c>
      <c r="C242" s="102" t="s">
        <v>225</v>
      </c>
      <c r="D242" s="102" t="s">
        <v>1</v>
      </c>
      <c r="E242" s="102" t="s">
        <v>226</v>
      </c>
    </row>
    <row r="243" spans="1:7" ht="15" customHeight="1" x14ac:dyDescent="0.2">
      <c r="A243" s="64" t="s">
        <v>184</v>
      </c>
      <c r="B243" s="64">
        <f>IFERROR(ROUND(tblClothing[[#This Row],[Amount]],2)*VLOOKUP(tblClothing[[#This Row],[Period]],Periods,2,0),"")</f>
        <v>0</v>
      </c>
      <c r="C243" s="64" t="s">
        <v>184</v>
      </c>
      <c r="D243" s="65">
        <v>0</v>
      </c>
      <c r="E243" s="65" t="s">
        <v>215</v>
      </c>
    </row>
    <row r="244" spans="1:7" ht="15" hidden="1" customHeight="1" x14ac:dyDescent="0.2">
      <c r="A244" s="64" t="s">
        <v>353</v>
      </c>
      <c r="B244" s="64">
        <f>IFERROR(ROUND(tblClothing[[#This Row],[Amount]],2)*VLOOKUP(tblClothing[[#This Row],[Period]],Periods,2,0),"")</f>
        <v>0</v>
      </c>
      <c r="C244" s="64" t="s">
        <v>354</v>
      </c>
      <c r="D244" s="65">
        <v>0</v>
      </c>
      <c r="E244" s="65" t="s">
        <v>215</v>
      </c>
    </row>
    <row r="245" spans="1:7" ht="15" customHeight="1" x14ac:dyDescent="0.2">
      <c r="A245" s="64" t="s">
        <v>355</v>
      </c>
      <c r="B245" s="64">
        <f>IFERROR(ROUND(tblClothing[[#This Row],[Amount]],2)*VLOOKUP(tblClothing[[#This Row],[Period]],Periods,2,0),"")</f>
        <v>0</v>
      </c>
      <c r="C245" s="64" t="s">
        <v>356</v>
      </c>
      <c r="D245" s="65">
        <v>0</v>
      </c>
      <c r="E245" s="65" t="s">
        <v>215</v>
      </c>
    </row>
    <row r="246" spans="1:7" ht="15" customHeight="1" x14ac:dyDescent="0.2">
      <c r="A246" s="66"/>
      <c r="B246" s="66" t="str">
        <f>IFERROR(ROUND(tblClothing[[#This Row],[Amount]],2)*VLOOKUP(tblClothing[[#This Row],[Period]],Periods,2,0),"")</f>
        <v/>
      </c>
      <c r="C246" s="67" t="s">
        <v>255</v>
      </c>
      <c r="D246" s="68"/>
      <c r="E246" s="68"/>
    </row>
    <row r="247" spans="1:7" ht="15" customHeight="1" x14ac:dyDescent="0.2">
      <c r="A247" s="64">
        <v>1</v>
      </c>
      <c r="B247" s="64">
        <f>IFERROR(ROUND(tblClothing[[#This Row],[Amount]],2)*VLOOKUP(tblClothing[[#This Row],[Period]],Periods,2,0),"")</f>
        <v>0</v>
      </c>
      <c r="C247" s="65" t="s">
        <v>256</v>
      </c>
      <c r="D247" s="65">
        <v>0</v>
      </c>
      <c r="E247" s="65" t="s">
        <v>215</v>
      </c>
    </row>
    <row r="248" spans="1:7" ht="15" customHeight="1" x14ac:dyDescent="0.2">
      <c r="A248" s="64">
        <v>2</v>
      </c>
      <c r="B248" s="64">
        <f>IFERROR(ROUND(tblClothing[[#This Row],[Amount]],2)*VLOOKUP(tblClothing[[#This Row],[Period]],Periods,2,0),"")</f>
        <v>0</v>
      </c>
      <c r="C248" s="65" t="s">
        <v>256</v>
      </c>
      <c r="D248" s="65">
        <v>0</v>
      </c>
      <c r="E248" s="65" t="s">
        <v>215</v>
      </c>
    </row>
    <row r="249" spans="1:7" ht="15" customHeight="1" x14ac:dyDescent="0.2">
      <c r="A249" s="64">
        <v>3</v>
      </c>
      <c r="B249" s="64">
        <f>IFERROR(ROUND(tblClothing[[#This Row],[Amount]],2)*VLOOKUP(tblClothing[[#This Row],[Period]],Periods,2,0),"")</f>
        <v>0</v>
      </c>
      <c r="C249" s="65" t="s">
        <v>256</v>
      </c>
      <c r="D249" s="65">
        <v>0</v>
      </c>
      <c r="E249" s="65" t="s">
        <v>215</v>
      </c>
    </row>
    <row r="250" spans="1:7" ht="15" customHeight="1" x14ac:dyDescent="0.2">
      <c r="A250" s="64">
        <v>4</v>
      </c>
      <c r="B250" s="64">
        <f>IFERROR(ROUND(tblClothing[[#This Row],[Amount]],2)*VLOOKUP(tblClothing[[#This Row],[Period]],Periods,2,0),"")</f>
        <v>0</v>
      </c>
      <c r="C250" s="65" t="s">
        <v>256</v>
      </c>
      <c r="D250" s="65">
        <v>0</v>
      </c>
      <c r="E250" s="65" t="s">
        <v>215</v>
      </c>
    </row>
    <row r="251" spans="1:7" ht="15" customHeight="1" x14ac:dyDescent="0.2">
      <c r="A251" s="64">
        <v>5</v>
      </c>
      <c r="B251" s="64">
        <f>IFERROR(ROUND(tblClothing[[#This Row],[Amount]],2)*VLOOKUP(tblClothing[[#This Row],[Period]],Periods,2,0),"")</f>
        <v>0</v>
      </c>
      <c r="C251" s="65" t="s">
        <v>256</v>
      </c>
      <c r="D251" s="65">
        <v>0</v>
      </c>
      <c r="E251" s="65" t="s">
        <v>215</v>
      </c>
    </row>
    <row r="252" spans="1:7" ht="15" customHeight="1" x14ac:dyDescent="0.2">
      <c r="A252" s="64">
        <v>6</v>
      </c>
      <c r="B252" s="64">
        <f>IFERROR(ROUND(tblClothing[[#This Row],[Amount]],2)*VLOOKUP(tblClothing[[#This Row],[Period]],Periods,2,0),"")</f>
        <v>0</v>
      </c>
      <c r="C252" s="65" t="s">
        <v>256</v>
      </c>
      <c r="D252" s="65">
        <v>0</v>
      </c>
      <c r="E252" s="65" t="s">
        <v>215</v>
      </c>
    </row>
    <row r="253" spans="1:7" ht="15" customHeight="1" x14ac:dyDescent="0.2">
      <c r="A253" s="64">
        <v>7</v>
      </c>
      <c r="B253" s="64">
        <f>IFERROR(ROUND(tblClothing[[#This Row],[Amount]],2)*VLOOKUP(tblClothing[[#This Row],[Period]],Periods,2,0),"")</f>
        <v>0</v>
      </c>
      <c r="C253" s="65" t="s">
        <v>256</v>
      </c>
      <c r="D253" s="65">
        <v>0</v>
      </c>
      <c r="E253" s="65" t="s">
        <v>215</v>
      </c>
    </row>
    <row r="254" spans="1:7" ht="15" customHeight="1" x14ac:dyDescent="0.2">
      <c r="A254" s="64">
        <v>8</v>
      </c>
      <c r="B254" s="64">
        <f>IFERROR(ROUND(tblClothing[[#This Row],[Amount]],2)*VLOOKUP(tblClothing[[#This Row],[Period]],Periods,2,0),"")</f>
        <v>0</v>
      </c>
      <c r="C254" s="65" t="s">
        <v>256</v>
      </c>
      <c r="D254" s="65">
        <v>0</v>
      </c>
      <c r="E254" s="65" t="s">
        <v>215</v>
      </c>
    </row>
    <row r="255" spans="1:7" ht="15" customHeight="1" x14ac:dyDescent="0.2">
      <c r="A255" s="64">
        <v>9</v>
      </c>
      <c r="B255" s="64">
        <f>IFERROR(ROUND(tblClothing[[#This Row],[Amount]],2)*VLOOKUP(tblClothing[[#This Row],[Period]],Periods,2,0),"")</f>
        <v>0</v>
      </c>
      <c r="C255" s="65" t="s">
        <v>256</v>
      </c>
      <c r="D255" s="65">
        <v>0</v>
      </c>
      <c r="E255" s="65" t="s">
        <v>215</v>
      </c>
    </row>
    <row r="256" spans="1:7" ht="15" customHeight="1" x14ac:dyDescent="0.2">
      <c r="A256" s="69">
        <v>10</v>
      </c>
      <c r="B256" s="69">
        <f>IFERROR(ROUND(tblClothing[[#This Row],[Amount]],2)*VLOOKUP(tblClothing[[#This Row],[Period]],Periods,2,0),"")</f>
        <v>0</v>
      </c>
      <c r="C256" s="70" t="s">
        <v>256</v>
      </c>
      <c r="D256" s="70">
        <v>0</v>
      </c>
      <c r="E256" s="70" t="s">
        <v>215</v>
      </c>
    </row>
    <row r="257" spans="1:7" ht="27" customHeight="1" x14ac:dyDescent="0.2">
      <c r="A257" s="73">
        <v>2.7697180776936933E-2</v>
      </c>
      <c r="B257" s="74"/>
      <c r="C257" s="109" t="s">
        <v>162</v>
      </c>
      <c r="D257" s="109">
        <f>ROUND(SUM(tblMedical[Annual Total])/VLOOKUP(D5,TotalPeriods[],2,0),2)</f>
        <v>0</v>
      </c>
      <c r="E257" s="110">
        <f>IFERROR(D257/D10,0)</f>
        <v>0</v>
      </c>
      <c r="F257" s="123" t="str">
        <f>IF(E257&gt;0,IF(AND(E257&gt;0,E257&lt;=RulesOfThumb!D15),RulesOfThumb!B15,IF(AND(E257&gt;RulesOfThumb!F15,E257&lt;=RulesOfThumb!G15),RulesOfThumb!E15,IF(E257&gt;RulesOfThumb!I15,RulesOfThumb!H15,""))),"")</f>
        <v/>
      </c>
      <c r="G257" s="123"/>
    </row>
    <row r="258" spans="1:7" ht="15" customHeight="1" x14ac:dyDescent="0.2">
      <c r="A258" s="78" t="s">
        <v>223</v>
      </c>
      <c r="B258" s="79" t="s">
        <v>224</v>
      </c>
      <c r="C258" s="111" t="s">
        <v>225</v>
      </c>
      <c r="D258" s="111" t="s">
        <v>1</v>
      </c>
      <c r="E258" s="112" t="s">
        <v>226</v>
      </c>
    </row>
    <row r="259" spans="1:7" ht="15" customHeight="1" x14ac:dyDescent="0.2">
      <c r="A259" s="80" t="s">
        <v>357</v>
      </c>
      <c r="B259" s="81">
        <f>IFERROR(ROUND(tblMedical[[#This Row],[Amount]],2)*VLOOKUP(tblMedical[[#This Row],[Period]],Periods,2,0),"")</f>
        <v>0</v>
      </c>
      <c r="C259" s="81" t="s">
        <v>358</v>
      </c>
      <c r="D259" s="82">
        <v>0</v>
      </c>
      <c r="E259" s="83" t="s">
        <v>268</v>
      </c>
    </row>
    <row r="260" spans="1:7" ht="15" customHeight="1" x14ac:dyDescent="0.2">
      <c r="A260" s="80" t="s">
        <v>359</v>
      </c>
      <c r="B260" s="81">
        <f>IFERROR(ROUND(tblMedical[[#This Row],[Amount]],2)*VLOOKUP(tblMedical[[#This Row],[Period]],Periods,2,0),"")</f>
        <v>0</v>
      </c>
      <c r="C260" s="81" t="s">
        <v>360</v>
      </c>
      <c r="D260" s="82">
        <v>0</v>
      </c>
      <c r="E260" s="83" t="s">
        <v>268</v>
      </c>
    </row>
    <row r="261" spans="1:7" ht="15" customHeight="1" x14ac:dyDescent="0.2">
      <c r="A261" s="80" t="s">
        <v>361</v>
      </c>
      <c r="B261" s="81">
        <f>IFERROR(ROUND(tblMedical[[#This Row],[Amount]],2)*VLOOKUP(tblMedical[[#This Row],[Period]],Periods,2,0),"")</f>
        <v>0</v>
      </c>
      <c r="C261" s="81" t="s">
        <v>361</v>
      </c>
      <c r="D261" s="82">
        <v>0</v>
      </c>
      <c r="E261" s="83" t="s">
        <v>268</v>
      </c>
    </row>
    <row r="262" spans="1:7" ht="15" customHeight="1" x14ac:dyDescent="0.2">
      <c r="A262" s="84"/>
      <c r="B262" s="85" t="str">
        <f>IFERROR(ROUND(tblMedical[[#This Row],[Amount]],2)*VLOOKUP(tblMedical[[#This Row],[Period]],Periods,2,0),"")</f>
        <v/>
      </c>
      <c r="C262" s="67" t="s">
        <v>255</v>
      </c>
      <c r="D262" s="68"/>
      <c r="E262" s="68"/>
    </row>
    <row r="263" spans="1:7" ht="15" customHeight="1" x14ac:dyDescent="0.2">
      <c r="A263" s="80">
        <v>1</v>
      </c>
      <c r="B263" s="81">
        <f>IFERROR(ROUND(tblMedical[[#This Row],[Amount]],2)*VLOOKUP(tblMedical[[#This Row],[Period]],Periods,2,0),"")</f>
        <v>0</v>
      </c>
      <c r="C263" s="82" t="s">
        <v>256</v>
      </c>
      <c r="D263" s="82">
        <v>0</v>
      </c>
      <c r="E263" s="83" t="s">
        <v>268</v>
      </c>
    </row>
    <row r="264" spans="1:7" ht="15" customHeight="1" x14ac:dyDescent="0.2">
      <c r="A264" s="80">
        <v>2</v>
      </c>
      <c r="B264" s="81">
        <f>IFERROR(ROUND(tblMedical[[#This Row],[Amount]],2)*VLOOKUP(tblMedical[[#This Row],[Period]],Periods,2,0),"")</f>
        <v>0</v>
      </c>
      <c r="C264" s="82" t="s">
        <v>256</v>
      </c>
      <c r="D264" s="82">
        <v>0</v>
      </c>
      <c r="E264" s="83" t="s">
        <v>268</v>
      </c>
    </row>
    <row r="265" spans="1:7" ht="15" customHeight="1" x14ac:dyDescent="0.2">
      <c r="A265" s="80">
        <v>3</v>
      </c>
      <c r="B265" s="81">
        <f>IFERROR(ROUND(tblMedical[[#This Row],[Amount]],2)*VLOOKUP(tblMedical[[#This Row],[Period]],Periods,2,0),"")</f>
        <v>0</v>
      </c>
      <c r="C265" s="82" t="s">
        <v>256</v>
      </c>
      <c r="D265" s="82">
        <v>0</v>
      </c>
      <c r="E265" s="83" t="s">
        <v>268</v>
      </c>
    </row>
    <row r="266" spans="1:7" ht="15" customHeight="1" x14ac:dyDescent="0.2">
      <c r="A266" s="80">
        <v>4</v>
      </c>
      <c r="B266" s="81">
        <f>IFERROR(ROUND(tblMedical[[#This Row],[Amount]],2)*VLOOKUP(tblMedical[[#This Row],[Period]],Periods,2,0),"")</f>
        <v>0</v>
      </c>
      <c r="C266" s="82" t="s">
        <v>256</v>
      </c>
      <c r="D266" s="82">
        <v>0</v>
      </c>
      <c r="E266" s="83" t="s">
        <v>268</v>
      </c>
    </row>
    <row r="267" spans="1:7" ht="15" customHeight="1" x14ac:dyDescent="0.2">
      <c r="A267" s="80">
        <v>5</v>
      </c>
      <c r="B267" s="81">
        <f>IFERROR(ROUND(tblMedical[[#This Row],[Amount]],2)*VLOOKUP(tblMedical[[#This Row],[Period]],Periods,2,0),"")</f>
        <v>0</v>
      </c>
      <c r="C267" s="82" t="s">
        <v>256</v>
      </c>
      <c r="D267" s="82">
        <v>0</v>
      </c>
      <c r="E267" s="83" t="s">
        <v>268</v>
      </c>
    </row>
    <row r="268" spans="1:7" ht="15" customHeight="1" x14ac:dyDescent="0.2">
      <c r="A268" s="80">
        <v>6</v>
      </c>
      <c r="B268" s="81">
        <f>IFERROR(ROUND(tblMedical[[#This Row],[Amount]],2)*VLOOKUP(tblMedical[[#This Row],[Period]],Periods,2,0),"")</f>
        <v>0</v>
      </c>
      <c r="C268" s="82" t="s">
        <v>256</v>
      </c>
      <c r="D268" s="82">
        <v>0</v>
      </c>
      <c r="E268" s="83" t="s">
        <v>268</v>
      </c>
    </row>
    <row r="269" spans="1:7" ht="15" customHeight="1" x14ac:dyDescent="0.2">
      <c r="A269" s="80">
        <v>7</v>
      </c>
      <c r="B269" s="81">
        <f>IFERROR(ROUND(tblMedical[[#This Row],[Amount]],2)*VLOOKUP(tblMedical[[#This Row],[Period]],Periods,2,0),"")</f>
        <v>0</v>
      </c>
      <c r="C269" s="82" t="s">
        <v>256</v>
      </c>
      <c r="D269" s="82">
        <v>0</v>
      </c>
      <c r="E269" s="83" t="s">
        <v>268</v>
      </c>
    </row>
    <row r="270" spans="1:7" ht="15" customHeight="1" x14ac:dyDescent="0.2">
      <c r="A270" s="80">
        <v>8</v>
      </c>
      <c r="B270" s="81">
        <f>IFERROR(ROUND(tblMedical[[#This Row],[Amount]],2)*VLOOKUP(tblMedical[[#This Row],[Period]],Periods,2,0),"")</f>
        <v>0</v>
      </c>
      <c r="C270" s="82" t="s">
        <v>256</v>
      </c>
      <c r="D270" s="82">
        <v>0</v>
      </c>
      <c r="E270" s="83" t="s">
        <v>268</v>
      </c>
    </row>
    <row r="271" spans="1:7" ht="15" customHeight="1" x14ac:dyDescent="0.2">
      <c r="A271" s="80">
        <v>9</v>
      </c>
      <c r="B271" s="81">
        <f>IFERROR(ROUND(tblMedical[[#This Row],[Amount]],2)*VLOOKUP(tblMedical[[#This Row],[Period]],Periods,2,0),"")</f>
        <v>0</v>
      </c>
      <c r="C271" s="82" t="s">
        <v>256</v>
      </c>
      <c r="D271" s="82">
        <v>0</v>
      </c>
      <c r="E271" s="83" t="s">
        <v>268</v>
      </c>
    </row>
    <row r="272" spans="1:7" ht="15" customHeight="1" x14ac:dyDescent="0.2">
      <c r="A272" s="86">
        <v>10</v>
      </c>
      <c r="B272" s="87">
        <f>IFERROR(ROUND(tblMedical[[#This Row],[Amount]],2)*VLOOKUP(tblMedical[[#This Row],[Period]],Periods,2,0),"")</f>
        <v>0</v>
      </c>
      <c r="C272" s="88" t="s">
        <v>256</v>
      </c>
      <c r="D272" s="88">
        <v>0</v>
      </c>
      <c r="E272" s="89" t="s">
        <v>268</v>
      </c>
    </row>
    <row r="273" spans="1:7" ht="27" customHeight="1" x14ac:dyDescent="0.2">
      <c r="A273" s="73">
        <v>9.8797035206977107E-3</v>
      </c>
      <c r="B273" s="74"/>
      <c r="C273" s="109" t="s">
        <v>362</v>
      </c>
      <c r="D273" s="109">
        <f>ROUND(SUM(tblPets[Annual Total])/VLOOKUP(D5,TotalPeriods[],2,0),2)</f>
        <v>0</v>
      </c>
      <c r="E273" s="110">
        <f>IFERROR(D273/D10,0)</f>
        <v>0</v>
      </c>
      <c r="F273" s="123" t="str">
        <f>IF(E273&gt;0,IF(AND(E273&gt;0,E273&lt;=RulesOfThumb!D16),RulesOfThumb!B16,IF(AND(E273&gt;RulesOfThumb!F16,E273&lt;=RulesOfThumb!G16),RulesOfThumb!E16,IF(E273&gt;RulesOfThumb!I16,RulesOfThumb!H16,""))),"")</f>
        <v/>
      </c>
      <c r="G273" s="123"/>
    </row>
    <row r="274" spans="1:7" ht="15" customHeight="1" x14ac:dyDescent="0.2">
      <c r="A274" s="76" t="s">
        <v>223</v>
      </c>
      <c r="B274" s="76" t="s">
        <v>224</v>
      </c>
      <c r="C274" s="102" t="s">
        <v>225</v>
      </c>
      <c r="D274" s="102" t="s">
        <v>1</v>
      </c>
      <c r="E274" s="102" t="s">
        <v>226</v>
      </c>
    </row>
    <row r="275" spans="1:7" ht="15" customHeight="1" x14ac:dyDescent="0.2">
      <c r="A275" s="64" t="s">
        <v>363</v>
      </c>
      <c r="B275" s="64">
        <f>IFERROR(ROUND(tblPets[[#This Row],[Amount]],2)*VLOOKUP(tblPets[[#This Row],[Period]],Periods,2,0),"")</f>
        <v>0</v>
      </c>
      <c r="C275" s="64" t="s">
        <v>364</v>
      </c>
      <c r="D275" s="65">
        <v>0</v>
      </c>
      <c r="E275" s="65" t="s">
        <v>215</v>
      </c>
    </row>
    <row r="276" spans="1:7" ht="15" customHeight="1" x14ac:dyDescent="0.2">
      <c r="A276" s="64" t="s">
        <v>365</v>
      </c>
      <c r="B276" s="64">
        <f>IFERROR(ROUND(tblPets[[#This Row],[Amount]],2)*VLOOKUP(tblPets[[#This Row],[Period]],Periods,2,0),"")</f>
        <v>0</v>
      </c>
      <c r="C276" s="64" t="s">
        <v>365</v>
      </c>
      <c r="D276" s="65">
        <v>0</v>
      </c>
      <c r="E276" s="65" t="s">
        <v>268</v>
      </c>
    </row>
    <row r="277" spans="1:7" ht="15" customHeight="1" x14ac:dyDescent="0.2">
      <c r="A277" s="66"/>
      <c r="B277" s="66" t="str">
        <f>IFERROR(ROUND(tblPets[[#This Row],[Amount]],2)*VLOOKUP(tblPets[[#This Row],[Period]],Periods,2,0),"")</f>
        <v/>
      </c>
      <c r="C277" s="67" t="s">
        <v>255</v>
      </c>
      <c r="D277" s="68"/>
      <c r="E277" s="68"/>
    </row>
    <row r="278" spans="1:7" ht="15" customHeight="1" x14ac:dyDescent="0.2">
      <c r="A278" s="64">
        <v>1</v>
      </c>
      <c r="B278" s="64">
        <f>IFERROR(ROUND(tblPets[[#This Row],[Amount]],2)*VLOOKUP(tblPets[[#This Row],[Period]],Periods,2,0),"")</f>
        <v>0</v>
      </c>
      <c r="C278" s="65" t="s">
        <v>256</v>
      </c>
      <c r="D278" s="65">
        <v>0</v>
      </c>
      <c r="E278" s="65" t="s">
        <v>268</v>
      </c>
    </row>
    <row r="279" spans="1:7" ht="15" customHeight="1" x14ac:dyDescent="0.2">
      <c r="A279" s="64">
        <v>2</v>
      </c>
      <c r="B279" s="64">
        <f>IFERROR(ROUND(tblPets[[#This Row],[Amount]],2)*VLOOKUP(tblPets[[#This Row],[Period]],Periods,2,0),"")</f>
        <v>0</v>
      </c>
      <c r="C279" s="65" t="s">
        <v>256</v>
      </c>
      <c r="D279" s="65">
        <v>0</v>
      </c>
      <c r="E279" s="65" t="s">
        <v>268</v>
      </c>
    </row>
    <row r="280" spans="1:7" ht="15" customHeight="1" x14ac:dyDescent="0.2">
      <c r="A280" s="64">
        <v>3</v>
      </c>
      <c r="B280" s="64">
        <f>IFERROR(ROUND(tblPets[[#This Row],[Amount]],2)*VLOOKUP(tblPets[[#This Row],[Period]],Periods,2,0),"")</f>
        <v>0</v>
      </c>
      <c r="C280" s="65" t="s">
        <v>256</v>
      </c>
      <c r="D280" s="65">
        <v>0</v>
      </c>
      <c r="E280" s="65" t="s">
        <v>268</v>
      </c>
    </row>
    <row r="281" spans="1:7" ht="15" customHeight="1" x14ac:dyDescent="0.2">
      <c r="A281" s="64">
        <v>4</v>
      </c>
      <c r="B281" s="64">
        <f>IFERROR(ROUND(tblPets[[#This Row],[Amount]],2)*VLOOKUP(tblPets[[#This Row],[Period]],Periods,2,0),"")</f>
        <v>0</v>
      </c>
      <c r="C281" s="65" t="s">
        <v>256</v>
      </c>
      <c r="D281" s="65">
        <v>0</v>
      </c>
      <c r="E281" s="65" t="s">
        <v>268</v>
      </c>
    </row>
    <row r="282" spans="1:7" ht="15" customHeight="1" x14ac:dyDescent="0.2">
      <c r="A282" s="64">
        <v>5</v>
      </c>
      <c r="B282" s="64">
        <f>IFERROR(ROUND(tblPets[[#This Row],[Amount]],2)*VLOOKUP(tblPets[[#This Row],[Period]],Periods,2,0),"")</f>
        <v>0</v>
      </c>
      <c r="C282" s="65" t="s">
        <v>256</v>
      </c>
      <c r="D282" s="65">
        <v>0</v>
      </c>
      <c r="E282" s="65" t="s">
        <v>268</v>
      </c>
    </row>
    <row r="283" spans="1:7" ht="15" customHeight="1" x14ac:dyDescent="0.2">
      <c r="A283" s="64">
        <v>6</v>
      </c>
      <c r="B283" s="64">
        <f>IFERROR(ROUND(tblPets[[#This Row],[Amount]],2)*VLOOKUP(tblPets[[#This Row],[Period]],Periods,2,0),"")</f>
        <v>0</v>
      </c>
      <c r="C283" s="65" t="s">
        <v>256</v>
      </c>
      <c r="D283" s="65">
        <v>0</v>
      </c>
      <c r="E283" s="65" t="s">
        <v>268</v>
      </c>
    </row>
    <row r="284" spans="1:7" ht="15" customHeight="1" x14ac:dyDescent="0.2">
      <c r="A284" s="64">
        <v>7</v>
      </c>
      <c r="B284" s="64">
        <f>IFERROR(ROUND(tblPets[[#This Row],[Amount]],2)*VLOOKUP(tblPets[[#This Row],[Period]],Periods,2,0),"")</f>
        <v>0</v>
      </c>
      <c r="C284" s="65" t="s">
        <v>256</v>
      </c>
      <c r="D284" s="65">
        <v>0</v>
      </c>
      <c r="E284" s="65" t="s">
        <v>268</v>
      </c>
    </row>
    <row r="285" spans="1:7" ht="15" customHeight="1" x14ac:dyDescent="0.2">
      <c r="A285" s="64">
        <v>8</v>
      </c>
      <c r="B285" s="64">
        <f>IFERROR(ROUND(tblPets[[#This Row],[Amount]],2)*VLOOKUP(tblPets[[#This Row],[Period]],Periods,2,0),"")</f>
        <v>0</v>
      </c>
      <c r="C285" s="65" t="s">
        <v>256</v>
      </c>
      <c r="D285" s="65">
        <v>0</v>
      </c>
      <c r="E285" s="65" t="s">
        <v>268</v>
      </c>
    </row>
    <row r="286" spans="1:7" ht="15" customHeight="1" x14ac:dyDescent="0.2">
      <c r="A286" s="64">
        <v>9</v>
      </c>
      <c r="B286" s="64">
        <f>IFERROR(ROUND(tblPets[[#This Row],[Amount]],2)*VLOOKUP(tblPets[[#This Row],[Period]],Periods,2,0),"")</f>
        <v>0</v>
      </c>
      <c r="C286" s="65" t="s">
        <v>256</v>
      </c>
      <c r="D286" s="65">
        <v>0</v>
      </c>
      <c r="E286" s="65" t="s">
        <v>268</v>
      </c>
    </row>
    <row r="287" spans="1:7" ht="15" customHeight="1" x14ac:dyDescent="0.2">
      <c r="A287" s="69">
        <v>10</v>
      </c>
      <c r="B287" s="69">
        <f>IFERROR(ROUND(tblPets[[#This Row],[Amount]],2)*VLOOKUP(tblPets[[#This Row],[Period]],Periods,2,0),"")</f>
        <v>0</v>
      </c>
      <c r="C287" s="70" t="s">
        <v>256</v>
      </c>
      <c r="D287" s="70">
        <v>0</v>
      </c>
      <c r="E287" s="70" t="s">
        <v>268</v>
      </c>
    </row>
    <row r="288" spans="1:7" ht="27" customHeight="1" x14ac:dyDescent="0.2">
      <c r="A288" s="73">
        <v>2.6043428992558858E-2</v>
      </c>
      <c r="B288" s="74"/>
      <c r="C288" s="109" t="s">
        <v>187</v>
      </c>
      <c r="D288" s="109">
        <f>ROUND(SUM(tblFees[Annual Total])/VLOOKUP(D5,TotalPeriods[],2,0),2)</f>
        <v>0</v>
      </c>
      <c r="E288" s="110">
        <f>IFERROR(D288/D10,0)</f>
        <v>0</v>
      </c>
      <c r="F288" s="123" t="str">
        <f>IF(E288&gt;0,IF(AND(E288&gt;0,E288&lt;=RulesOfThumb!D17),RulesOfThumb!B17,IF(AND(E288&gt;RulesOfThumb!F17,E288&lt;=RulesOfThumb!G17),RulesOfThumb!E17,IF(E288&gt;RulesOfThumb!I17,RulesOfThumb!H17,""))),"")</f>
        <v/>
      </c>
      <c r="G288" s="123"/>
    </row>
    <row r="289" spans="1:7" ht="15" customHeight="1" x14ac:dyDescent="0.2">
      <c r="A289" s="76" t="s">
        <v>223</v>
      </c>
      <c r="B289" s="76" t="s">
        <v>224</v>
      </c>
      <c r="C289" s="102" t="s">
        <v>225</v>
      </c>
      <c r="D289" s="102" t="s">
        <v>1</v>
      </c>
      <c r="E289" s="102" t="s">
        <v>226</v>
      </c>
    </row>
    <row r="290" spans="1:7" ht="15" customHeight="1" x14ac:dyDescent="0.2">
      <c r="A290" s="64" t="s">
        <v>188</v>
      </c>
      <c r="B290" s="64">
        <f>IFERROR(ROUND(tblFees[[#This Row],[Amount]],2)*VLOOKUP(tblFees[[#This Row],[Period]],Periods,2,0),"")</f>
        <v>0</v>
      </c>
      <c r="C290" s="64" t="s">
        <v>366</v>
      </c>
      <c r="D290" s="65">
        <v>0</v>
      </c>
      <c r="E290" s="65" t="s">
        <v>215</v>
      </c>
    </row>
    <row r="291" spans="1:7" ht="15" customHeight="1" x14ac:dyDescent="0.2">
      <c r="A291" s="64" t="s">
        <v>193</v>
      </c>
      <c r="B291" s="64">
        <f>IFERROR(ROUND(tblFees[[#This Row],[Amount]],2)*VLOOKUP(tblFees[[#This Row],[Period]],Periods,2,0),"")</f>
        <v>0</v>
      </c>
      <c r="C291" s="64" t="s">
        <v>367</v>
      </c>
      <c r="D291" s="65">
        <v>0</v>
      </c>
      <c r="E291" s="65" t="s">
        <v>268</v>
      </c>
    </row>
    <row r="292" spans="1:7" ht="15" customHeight="1" x14ac:dyDescent="0.2">
      <c r="A292" s="64" t="s">
        <v>368</v>
      </c>
      <c r="B292" s="64">
        <f>IFERROR(ROUND(tblFees[[#This Row],[Amount]],2)*VLOOKUP(tblFees[[#This Row],[Period]],Periods,2,0),"")</f>
        <v>0</v>
      </c>
      <c r="C292" s="64" t="s">
        <v>369</v>
      </c>
      <c r="D292" s="65">
        <v>0</v>
      </c>
      <c r="E292" s="65" t="s">
        <v>268</v>
      </c>
    </row>
    <row r="293" spans="1:7" ht="15" customHeight="1" x14ac:dyDescent="0.2">
      <c r="A293" s="66"/>
      <c r="B293" s="66" t="str">
        <f>IFERROR(ROUND(tblFees[[#This Row],[Amount]],2)*VLOOKUP(tblFees[[#This Row],[Period]],Periods,2,0),"")</f>
        <v/>
      </c>
      <c r="C293" s="67" t="s">
        <v>255</v>
      </c>
      <c r="D293" s="68"/>
      <c r="E293" s="68"/>
    </row>
    <row r="294" spans="1:7" ht="15" customHeight="1" x14ac:dyDescent="0.2">
      <c r="A294" s="64">
        <v>1</v>
      </c>
      <c r="B294" s="64">
        <f>IFERROR(ROUND(tblFees[[#This Row],[Amount]],2)*VLOOKUP(tblFees[[#This Row],[Period]],Periods,2,0),"")</f>
        <v>0</v>
      </c>
      <c r="C294" s="65" t="s">
        <v>256</v>
      </c>
      <c r="D294" s="65">
        <v>0</v>
      </c>
      <c r="E294" s="65" t="s">
        <v>268</v>
      </c>
    </row>
    <row r="295" spans="1:7" ht="15" customHeight="1" x14ac:dyDescent="0.2">
      <c r="A295" s="64">
        <v>2</v>
      </c>
      <c r="B295" s="64">
        <f>IFERROR(ROUND(tblFees[[#This Row],[Amount]],2)*VLOOKUP(tblFees[[#This Row],[Period]],Periods,2,0),"")</f>
        <v>0</v>
      </c>
      <c r="C295" s="65" t="s">
        <v>256</v>
      </c>
      <c r="D295" s="65">
        <v>0</v>
      </c>
      <c r="E295" s="65" t="s">
        <v>268</v>
      </c>
    </row>
    <row r="296" spans="1:7" ht="15" customHeight="1" x14ac:dyDescent="0.2">
      <c r="A296" s="64">
        <v>3</v>
      </c>
      <c r="B296" s="64">
        <f>IFERROR(ROUND(tblFees[[#This Row],[Amount]],2)*VLOOKUP(tblFees[[#This Row],[Period]],Periods,2,0),"")</f>
        <v>0</v>
      </c>
      <c r="C296" s="65" t="s">
        <v>256</v>
      </c>
      <c r="D296" s="65">
        <v>0</v>
      </c>
      <c r="E296" s="65" t="s">
        <v>268</v>
      </c>
    </row>
    <row r="297" spans="1:7" ht="15" customHeight="1" x14ac:dyDescent="0.2">
      <c r="A297" s="64">
        <v>4</v>
      </c>
      <c r="B297" s="64">
        <f>IFERROR(ROUND(tblFees[[#This Row],[Amount]],2)*VLOOKUP(tblFees[[#This Row],[Period]],Periods,2,0),"")</f>
        <v>0</v>
      </c>
      <c r="C297" s="65" t="s">
        <v>256</v>
      </c>
      <c r="D297" s="65">
        <v>0</v>
      </c>
      <c r="E297" s="65" t="s">
        <v>268</v>
      </c>
    </row>
    <row r="298" spans="1:7" ht="15" customHeight="1" x14ac:dyDescent="0.2">
      <c r="A298" s="64">
        <v>5</v>
      </c>
      <c r="B298" s="64">
        <f>IFERROR(ROUND(tblFees[[#This Row],[Amount]],2)*VLOOKUP(tblFees[[#This Row],[Period]],Periods,2,0),"")</f>
        <v>0</v>
      </c>
      <c r="C298" s="65" t="s">
        <v>256</v>
      </c>
      <c r="D298" s="65">
        <v>0</v>
      </c>
      <c r="E298" s="65" t="s">
        <v>268</v>
      </c>
    </row>
    <row r="299" spans="1:7" ht="15" customHeight="1" x14ac:dyDescent="0.2">
      <c r="A299" s="64">
        <v>6</v>
      </c>
      <c r="B299" s="64">
        <f>IFERROR(ROUND(tblFees[[#This Row],[Amount]],2)*VLOOKUP(tblFees[[#This Row],[Period]],Periods,2,0),"")</f>
        <v>0</v>
      </c>
      <c r="C299" s="65" t="s">
        <v>256</v>
      </c>
      <c r="D299" s="65">
        <v>0</v>
      </c>
      <c r="E299" s="65" t="s">
        <v>268</v>
      </c>
    </row>
    <row r="300" spans="1:7" ht="15" customHeight="1" x14ac:dyDescent="0.2">
      <c r="A300" s="64">
        <v>7</v>
      </c>
      <c r="B300" s="64">
        <f>IFERROR(ROUND(tblFees[[#This Row],[Amount]],2)*VLOOKUP(tblFees[[#This Row],[Period]],Periods,2,0),"")</f>
        <v>0</v>
      </c>
      <c r="C300" s="65" t="s">
        <v>256</v>
      </c>
      <c r="D300" s="65">
        <v>0</v>
      </c>
      <c r="E300" s="65" t="s">
        <v>268</v>
      </c>
    </row>
    <row r="301" spans="1:7" ht="15" customHeight="1" x14ac:dyDescent="0.2">
      <c r="A301" s="64">
        <v>8</v>
      </c>
      <c r="B301" s="64">
        <f>IFERROR(ROUND(tblFees[[#This Row],[Amount]],2)*VLOOKUP(tblFees[[#This Row],[Period]],Periods,2,0),"")</f>
        <v>0</v>
      </c>
      <c r="C301" s="65" t="s">
        <v>256</v>
      </c>
      <c r="D301" s="65">
        <v>0</v>
      </c>
      <c r="E301" s="65" t="s">
        <v>268</v>
      </c>
    </row>
    <row r="302" spans="1:7" ht="15" customHeight="1" x14ac:dyDescent="0.2">
      <c r="A302" s="64">
        <v>9</v>
      </c>
      <c r="B302" s="64">
        <f>IFERROR(ROUND(tblFees[[#This Row],[Amount]],2)*VLOOKUP(tblFees[[#This Row],[Period]],Periods,2,0),"")</f>
        <v>0</v>
      </c>
      <c r="C302" s="65" t="s">
        <v>256</v>
      </c>
      <c r="D302" s="65">
        <v>0</v>
      </c>
      <c r="E302" s="65" t="s">
        <v>268</v>
      </c>
    </row>
    <row r="303" spans="1:7" ht="15" customHeight="1" x14ac:dyDescent="0.2">
      <c r="A303" s="69">
        <v>10</v>
      </c>
      <c r="B303" s="69">
        <f>IFERROR(ROUND(tblFees[[#This Row],[Amount]],2)*VLOOKUP(tblFees[[#This Row],[Period]],Periods,2,0),"")</f>
        <v>0</v>
      </c>
      <c r="C303" s="70" t="s">
        <v>256</v>
      </c>
      <c r="D303" s="70">
        <v>0</v>
      </c>
      <c r="E303" s="70" t="s">
        <v>268</v>
      </c>
    </row>
    <row r="304" spans="1:7" ht="27" customHeight="1" x14ac:dyDescent="0.2">
      <c r="A304" s="73">
        <v>2.8086994026017345E-2</v>
      </c>
      <c r="B304" s="74"/>
      <c r="C304" s="109" t="s">
        <v>370</v>
      </c>
      <c r="D304" s="109">
        <f>ROUND(SUM(tblGiftsDonations[Annual Total])/VLOOKUP(D5,TotalPeriods[],2,0),2)</f>
        <v>0</v>
      </c>
      <c r="E304" s="110">
        <f>IFERROR(D304/D10,0)</f>
        <v>0</v>
      </c>
      <c r="F304" s="123" t="str">
        <f>IF(E304&gt;0,IF(AND(E304&gt;0,E304&lt;=RulesOfThumb!D18),RulesOfThumb!B18,IF(AND(E304&gt;RulesOfThumb!F18,E304&lt;=RulesOfThumb!G18),RulesOfThumb!E18,IF(E304&gt;RulesOfThumb!I18,RulesOfThumb!H18,""))),"")</f>
        <v/>
      </c>
      <c r="G304" s="123"/>
    </row>
    <row r="305" spans="1:5" ht="15" customHeight="1" x14ac:dyDescent="0.2">
      <c r="A305" s="76" t="s">
        <v>223</v>
      </c>
      <c r="B305" s="76" t="s">
        <v>224</v>
      </c>
      <c r="C305" s="102" t="s">
        <v>225</v>
      </c>
      <c r="D305" s="102" t="s">
        <v>1</v>
      </c>
      <c r="E305" s="102" t="s">
        <v>226</v>
      </c>
    </row>
    <row r="306" spans="1:5" ht="15" customHeight="1" x14ac:dyDescent="0.2">
      <c r="A306" s="64" t="s">
        <v>371</v>
      </c>
      <c r="B306" s="64">
        <f>IFERROR(ROUND(tblGiftsDonations[[#This Row],[Amount]],2)*VLOOKUP(tblGiftsDonations[[#This Row],[Period]],Periods,2,0),"")</f>
        <v>0</v>
      </c>
      <c r="C306" s="64" t="s">
        <v>371</v>
      </c>
      <c r="D306" s="65">
        <v>0</v>
      </c>
      <c r="E306" s="65" t="s">
        <v>268</v>
      </c>
    </row>
    <row r="307" spans="1:5" ht="15" customHeight="1" x14ac:dyDescent="0.2">
      <c r="A307" s="64" t="s">
        <v>372</v>
      </c>
      <c r="B307" s="64">
        <f>IFERROR(ROUND(tblGiftsDonations[[#This Row],[Amount]],2)*VLOOKUP(tblGiftsDonations[[#This Row],[Period]],Periods,2,0),"")</f>
        <v>0</v>
      </c>
      <c r="C307" s="64" t="s">
        <v>372</v>
      </c>
      <c r="D307" s="65">
        <v>0</v>
      </c>
      <c r="E307" s="65" t="s">
        <v>268</v>
      </c>
    </row>
    <row r="308" spans="1:5" ht="15" customHeight="1" x14ac:dyDescent="0.2">
      <c r="A308" s="66"/>
      <c r="B308" s="66" t="str">
        <f>IFERROR(ROUND(tblGiftsDonations[[#This Row],[Amount]],2)*VLOOKUP(tblGiftsDonations[[#This Row],[Period]],Periods,2,0),"")</f>
        <v/>
      </c>
      <c r="C308" s="67" t="s">
        <v>255</v>
      </c>
      <c r="D308" s="68"/>
      <c r="E308" s="68"/>
    </row>
    <row r="309" spans="1:5" ht="15" customHeight="1" x14ac:dyDescent="0.2">
      <c r="A309" s="64">
        <v>1</v>
      </c>
      <c r="B309" s="64">
        <f>IFERROR(ROUND(tblGiftsDonations[[#This Row],[Amount]],2)*VLOOKUP(tblGiftsDonations[[#This Row],[Period]],Periods,2,0),"")</f>
        <v>0</v>
      </c>
      <c r="C309" s="65" t="s">
        <v>256</v>
      </c>
      <c r="D309" s="65">
        <v>0</v>
      </c>
      <c r="E309" s="65" t="s">
        <v>268</v>
      </c>
    </row>
    <row r="310" spans="1:5" ht="15" customHeight="1" x14ac:dyDescent="0.2">
      <c r="A310" s="64">
        <v>2</v>
      </c>
      <c r="B310" s="64">
        <f>IFERROR(ROUND(tblGiftsDonations[[#This Row],[Amount]],2)*VLOOKUP(tblGiftsDonations[[#This Row],[Period]],Periods,2,0),"")</f>
        <v>0</v>
      </c>
      <c r="C310" s="65" t="s">
        <v>256</v>
      </c>
      <c r="D310" s="65">
        <v>0</v>
      </c>
      <c r="E310" s="65" t="s">
        <v>268</v>
      </c>
    </row>
    <row r="311" spans="1:5" ht="15" customHeight="1" x14ac:dyDescent="0.2">
      <c r="A311" s="64">
        <v>3</v>
      </c>
      <c r="B311" s="64">
        <f>IFERROR(ROUND(tblGiftsDonations[[#This Row],[Amount]],2)*VLOOKUP(tblGiftsDonations[[#This Row],[Period]],Periods,2,0),"")</f>
        <v>0</v>
      </c>
      <c r="C311" s="65" t="s">
        <v>256</v>
      </c>
      <c r="D311" s="65">
        <v>0</v>
      </c>
      <c r="E311" s="65" t="s">
        <v>268</v>
      </c>
    </row>
    <row r="312" spans="1:5" ht="15" customHeight="1" x14ac:dyDescent="0.2">
      <c r="A312" s="64">
        <v>4</v>
      </c>
      <c r="B312" s="64">
        <f>IFERROR(ROUND(tblGiftsDonations[[#This Row],[Amount]],2)*VLOOKUP(tblGiftsDonations[[#This Row],[Period]],Periods,2,0),"")</f>
        <v>0</v>
      </c>
      <c r="C312" s="65" t="s">
        <v>256</v>
      </c>
      <c r="D312" s="65">
        <v>0</v>
      </c>
      <c r="E312" s="65" t="s">
        <v>268</v>
      </c>
    </row>
    <row r="313" spans="1:5" ht="15" customHeight="1" x14ac:dyDescent="0.2">
      <c r="A313" s="64">
        <v>5</v>
      </c>
      <c r="B313" s="64">
        <f>IFERROR(ROUND(tblGiftsDonations[[#This Row],[Amount]],2)*VLOOKUP(tblGiftsDonations[[#This Row],[Period]],Periods,2,0),"")</f>
        <v>0</v>
      </c>
      <c r="C313" s="65" t="s">
        <v>256</v>
      </c>
      <c r="D313" s="65">
        <v>0</v>
      </c>
      <c r="E313" s="65" t="s">
        <v>268</v>
      </c>
    </row>
    <row r="314" spans="1:5" ht="15" customHeight="1" x14ac:dyDescent="0.2">
      <c r="A314" s="64">
        <v>6</v>
      </c>
      <c r="B314" s="64">
        <f>IFERROR(ROUND(tblGiftsDonations[[#This Row],[Amount]],2)*VLOOKUP(tblGiftsDonations[[#This Row],[Period]],Periods,2,0),"")</f>
        <v>0</v>
      </c>
      <c r="C314" s="65" t="s">
        <v>256</v>
      </c>
      <c r="D314" s="65">
        <v>0</v>
      </c>
      <c r="E314" s="65" t="s">
        <v>268</v>
      </c>
    </row>
    <row r="315" spans="1:5" ht="15" customHeight="1" x14ac:dyDescent="0.2">
      <c r="A315" s="64">
        <v>7</v>
      </c>
      <c r="B315" s="64">
        <f>IFERROR(ROUND(tblGiftsDonations[[#This Row],[Amount]],2)*VLOOKUP(tblGiftsDonations[[#This Row],[Period]],Periods,2,0),"")</f>
        <v>0</v>
      </c>
      <c r="C315" s="65" t="s">
        <v>256</v>
      </c>
      <c r="D315" s="65">
        <v>0</v>
      </c>
      <c r="E315" s="65" t="s">
        <v>268</v>
      </c>
    </row>
    <row r="316" spans="1:5" ht="15" customHeight="1" x14ac:dyDescent="0.2">
      <c r="A316" s="64">
        <v>8</v>
      </c>
      <c r="B316" s="64">
        <f>IFERROR(ROUND(tblGiftsDonations[[#This Row],[Amount]],2)*VLOOKUP(tblGiftsDonations[[#This Row],[Period]],Periods,2,0),"")</f>
        <v>0</v>
      </c>
      <c r="C316" s="65" t="s">
        <v>256</v>
      </c>
      <c r="D316" s="65">
        <v>0</v>
      </c>
      <c r="E316" s="65" t="s">
        <v>268</v>
      </c>
    </row>
    <row r="317" spans="1:5" ht="15" customHeight="1" x14ac:dyDescent="0.2">
      <c r="A317" s="64">
        <v>9</v>
      </c>
      <c r="B317" s="64">
        <f>IFERROR(ROUND(tblGiftsDonations[[#This Row],[Amount]],2)*VLOOKUP(tblGiftsDonations[[#This Row],[Period]],Periods,2,0),"")</f>
        <v>0</v>
      </c>
      <c r="C317" s="65" t="s">
        <v>256</v>
      </c>
      <c r="D317" s="65">
        <v>0</v>
      </c>
      <c r="E317" s="65" t="s">
        <v>268</v>
      </c>
    </row>
    <row r="318" spans="1:5" ht="15" customHeight="1" x14ac:dyDescent="0.2">
      <c r="A318" s="69">
        <v>10</v>
      </c>
      <c r="B318" s="69">
        <f>IFERROR(ROUND(tblGiftsDonations[[#This Row],[Amount]],2)*VLOOKUP(tblGiftsDonations[[#This Row],[Period]],Periods,2,0),"")</f>
        <v>0</v>
      </c>
      <c r="C318" s="70" t="s">
        <v>256</v>
      </c>
      <c r="D318" s="70">
        <v>0</v>
      </c>
      <c r="E318" s="70" t="s">
        <v>268</v>
      </c>
    </row>
    <row r="319" spans="1:5" ht="15" customHeight="1" x14ac:dyDescent="0.2"/>
    <row r="320" spans="1:5" ht="15" customHeight="1" x14ac:dyDescent="0.2"/>
    <row r="321" ht="15" customHeight="1" x14ac:dyDescent="0.2"/>
    <row r="322" ht="15" customHeight="1" x14ac:dyDescent="0.2"/>
    <row r="323" ht="15" customHeight="1" x14ac:dyDescent="0.2"/>
  </sheetData>
  <sheetProtection algorithmName="SHA-512" hashValue="AV4tejeBi/VrBZ7aTN5/GrMfB/AnVgAgccPIzvwYZIa97DYWaHHe/phkTMkXAwZqx9GB6weMQ9Ja2C1xXuffkw==" saltValue="elGjaCvday4iPAJCXRfONA==" spinCount="100000" sheet="1" selectLockedCells="1"/>
  <mergeCells count="22">
    <mergeCell ref="C1:O1"/>
    <mergeCell ref="F119:G119"/>
    <mergeCell ref="I46:O47"/>
    <mergeCell ref="F304:G304"/>
    <mergeCell ref="F10:G10"/>
    <mergeCell ref="G36:H36"/>
    <mergeCell ref="F241:G241"/>
    <mergeCell ref="F225:G225"/>
    <mergeCell ref="F257:G257"/>
    <mergeCell ref="F273:G273"/>
    <mergeCell ref="F288:G288"/>
    <mergeCell ref="F134:G134"/>
    <mergeCell ref="F150:G150"/>
    <mergeCell ref="F171:G171"/>
    <mergeCell ref="F188:G188"/>
    <mergeCell ref="A2:O2"/>
    <mergeCell ref="F204:G204"/>
    <mergeCell ref="F58:G58"/>
    <mergeCell ref="F75:G75"/>
    <mergeCell ref="D7:E7"/>
    <mergeCell ref="G11:O12"/>
    <mergeCell ref="F101:G101"/>
  </mergeCells>
  <conditionalFormatting sqref="A1 C1 C309:C1048576 E3:E4 E10 G3:G4 I3:I4 K3:K4">
    <cfRule type="cellIs" dxfId="58" priority="107" operator="equal">
      <formula>"Enter Item Name"</formula>
    </cfRule>
  </conditionalFormatting>
  <conditionalFormatting sqref="A3:A4">
    <cfRule type="cellIs" dxfId="57" priority="64" operator="equal">
      <formula>"Enter Item Name"</formula>
    </cfRule>
  </conditionalFormatting>
  <conditionalFormatting sqref="A6:A8 C3:C58">
    <cfRule type="cellIs" dxfId="56" priority="5" operator="equal">
      <formula>"Enter Item Name"</formula>
    </cfRule>
  </conditionalFormatting>
  <conditionalFormatting sqref="B36">
    <cfRule type="cellIs" dxfId="55" priority="13" operator="equal">
      <formula>"Enter Item Name"</formula>
    </cfRule>
  </conditionalFormatting>
  <conditionalFormatting sqref="B57">
    <cfRule type="cellIs" dxfId="54" priority="12" operator="equal">
      <formula>"Enter Item Name"</formula>
    </cfRule>
  </conditionalFormatting>
  <conditionalFormatting sqref="C59:C74">
    <cfRule type="cellIs" dxfId="53" priority="106" operator="equal">
      <formula>"Enter Item Name"</formula>
    </cfRule>
  </conditionalFormatting>
  <conditionalFormatting sqref="C75">
    <cfRule type="cellIs" dxfId="52" priority="104" operator="equal">
      <formula>"Enter Item Name"</formula>
    </cfRule>
  </conditionalFormatting>
  <conditionalFormatting sqref="C76:C100">
    <cfRule type="cellIs" dxfId="51" priority="102" operator="equal">
      <formula>"Enter Item Name"</formula>
    </cfRule>
  </conditionalFormatting>
  <conditionalFormatting sqref="C101">
    <cfRule type="cellIs" dxfId="50" priority="18" operator="equal">
      <formula>"Enter Item Name"</formula>
    </cfRule>
  </conditionalFormatting>
  <conditionalFormatting sqref="C102:C118">
    <cfRule type="cellIs" dxfId="49" priority="15" operator="equal">
      <formula>"Enter Item Name"</formula>
    </cfRule>
  </conditionalFormatting>
  <conditionalFormatting sqref="C119">
    <cfRule type="cellIs" dxfId="48" priority="99" operator="equal">
      <formula>"Enter Item Name"</formula>
    </cfRule>
  </conditionalFormatting>
  <conditionalFormatting sqref="C120:C133">
    <cfRule type="cellIs" dxfId="47" priority="98" operator="equal">
      <formula>"Enter Item Name"</formula>
    </cfRule>
  </conditionalFormatting>
  <conditionalFormatting sqref="C134">
    <cfRule type="cellIs" dxfId="46" priority="97" operator="equal">
      <formula>"Enter Item Name"</formula>
    </cfRule>
  </conditionalFormatting>
  <conditionalFormatting sqref="C135:C149">
    <cfRule type="cellIs" dxfId="45" priority="95" operator="equal">
      <formula>"Enter Item Name"</formula>
    </cfRule>
  </conditionalFormatting>
  <conditionalFormatting sqref="C150">
    <cfRule type="cellIs" dxfId="44" priority="93" operator="equal">
      <formula>"Enter Item Name"</formula>
    </cfRule>
  </conditionalFormatting>
  <conditionalFormatting sqref="C151:C170">
    <cfRule type="cellIs" dxfId="43" priority="92" operator="equal">
      <formula>"Enter Item Name"</formula>
    </cfRule>
  </conditionalFormatting>
  <conditionalFormatting sqref="C171">
    <cfRule type="cellIs" dxfId="42" priority="90" operator="equal">
      <formula>"Enter Item Name"</formula>
    </cfRule>
  </conditionalFormatting>
  <conditionalFormatting sqref="C172:C187">
    <cfRule type="cellIs" dxfId="41" priority="89" operator="equal">
      <formula>"Enter Item Name"</formula>
    </cfRule>
  </conditionalFormatting>
  <conditionalFormatting sqref="C188">
    <cfRule type="cellIs" dxfId="40" priority="88" operator="equal">
      <formula>"Enter Item Name"</formula>
    </cfRule>
  </conditionalFormatting>
  <conditionalFormatting sqref="C189:C203">
    <cfRule type="cellIs" dxfId="39" priority="86" operator="equal">
      <formula>"Enter Item Name"</formula>
    </cfRule>
  </conditionalFormatting>
  <conditionalFormatting sqref="C204">
    <cfRule type="cellIs" dxfId="38" priority="85" operator="equal">
      <formula>"Enter Item Name"</formula>
    </cfRule>
  </conditionalFormatting>
  <conditionalFormatting sqref="C205:C224">
    <cfRule type="cellIs" dxfId="37" priority="83" operator="equal">
      <formula>"Enter Item Name"</formula>
    </cfRule>
  </conditionalFormatting>
  <conditionalFormatting sqref="C225">
    <cfRule type="cellIs" dxfId="36" priority="81" operator="equal">
      <formula>"Enter Item Name"</formula>
    </cfRule>
  </conditionalFormatting>
  <conditionalFormatting sqref="C226:C240">
    <cfRule type="cellIs" dxfId="35" priority="80" operator="equal">
      <formula>"Enter Item Name"</formula>
    </cfRule>
  </conditionalFormatting>
  <conditionalFormatting sqref="C241">
    <cfRule type="cellIs" dxfId="34" priority="79" operator="equal">
      <formula>"Enter Item Name"</formula>
    </cfRule>
  </conditionalFormatting>
  <conditionalFormatting sqref="C242:C256">
    <cfRule type="cellIs" dxfId="33" priority="77" operator="equal">
      <formula>"Enter Item Name"</formula>
    </cfRule>
  </conditionalFormatting>
  <conditionalFormatting sqref="C257">
    <cfRule type="cellIs" dxfId="32" priority="76" operator="equal">
      <formula>"Enter Item Name"</formula>
    </cfRule>
  </conditionalFormatting>
  <conditionalFormatting sqref="C258:C272">
    <cfRule type="cellIs" dxfId="31" priority="14" operator="equal">
      <formula>"Enter Item Name"</formula>
    </cfRule>
  </conditionalFormatting>
  <conditionalFormatting sqref="C273">
    <cfRule type="cellIs" dxfId="30" priority="72" operator="equal">
      <formula>"Enter Item Name"</formula>
    </cfRule>
  </conditionalFormatting>
  <conditionalFormatting sqref="C274:C287">
    <cfRule type="cellIs" dxfId="29" priority="71" operator="equal">
      <formula>"Enter Item Name"</formula>
    </cfRule>
  </conditionalFormatting>
  <conditionalFormatting sqref="C288">
    <cfRule type="cellIs" dxfId="28" priority="69" operator="equal">
      <formula>"Enter Item Name"</formula>
    </cfRule>
  </conditionalFormatting>
  <conditionalFormatting sqref="C289:C303">
    <cfRule type="cellIs" dxfId="27" priority="68" operator="equal">
      <formula>"Enter Item Name"</formula>
    </cfRule>
  </conditionalFormatting>
  <conditionalFormatting sqref="C304">
    <cfRule type="cellIs" dxfId="26" priority="67" operator="equal">
      <formula>"Enter Item Name"</formula>
    </cfRule>
  </conditionalFormatting>
  <conditionalFormatting sqref="C305:C308">
    <cfRule type="cellIs" dxfId="25" priority="65" operator="equal">
      <formula>"Enter Item Name"</formula>
    </cfRule>
  </conditionalFormatting>
  <conditionalFormatting sqref="D7:E7">
    <cfRule type="expression" dxfId="24" priority="3">
      <formula>BalanceTotal&lt;0</formula>
    </cfRule>
    <cfRule type="expression" dxfId="23" priority="4">
      <formula>BalanceTotal&gt;=0</formula>
    </cfRule>
  </conditionalFormatting>
  <conditionalFormatting sqref="F36">
    <cfRule type="cellIs" dxfId="22" priority="60" operator="equal">
      <formula>"Enter Item Name"</formula>
    </cfRule>
  </conditionalFormatting>
  <conditionalFormatting sqref="F10:G10">
    <cfRule type="containsBlanks" dxfId="21" priority="38">
      <formula>LEN(TRIM(F10))=0</formula>
    </cfRule>
  </conditionalFormatting>
  <conditionalFormatting sqref="F58:G58">
    <cfRule type="containsBlanks" dxfId="20" priority="36">
      <formula>LEN(TRIM(F58))=0</formula>
    </cfRule>
  </conditionalFormatting>
  <conditionalFormatting sqref="F75:G75">
    <cfRule type="containsBlanks" dxfId="19" priority="35">
      <formula>LEN(TRIM(F75))=0</formula>
    </cfRule>
  </conditionalFormatting>
  <conditionalFormatting sqref="F101:G101">
    <cfRule type="containsBlanks" dxfId="18" priority="34">
      <formula>LEN(TRIM(F101))=0</formula>
    </cfRule>
  </conditionalFormatting>
  <conditionalFormatting sqref="F119:G119">
    <cfRule type="containsBlanks" dxfId="17" priority="33">
      <formula>LEN(TRIM(F119))=0</formula>
    </cfRule>
  </conditionalFormatting>
  <conditionalFormatting sqref="F134:G134">
    <cfRule type="containsBlanks" dxfId="16" priority="32">
      <formula>LEN(TRIM(F134))=0</formula>
    </cfRule>
  </conditionalFormatting>
  <conditionalFormatting sqref="F150:G150">
    <cfRule type="containsBlanks" dxfId="15" priority="31">
      <formula>LEN(TRIM(F150))=0</formula>
    </cfRule>
  </conditionalFormatting>
  <conditionalFormatting sqref="F171:G171">
    <cfRule type="containsBlanks" dxfId="14" priority="30">
      <formula>LEN(TRIM(F171))=0</formula>
    </cfRule>
  </conditionalFormatting>
  <conditionalFormatting sqref="F188:G188">
    <cfRule type="containsBlanks" dxfId="13" priority="29">
      <formula>LEN(TRIM(F188))=0</formula>
    </cfRule>
  </conditionalFormatting>
  <conditionalFormatting sqref="F204:G204">
    <cfRule type="containsBlanks" dxfId="12" priority="28">
      <formula>LEN(TRIM(F204))=0</formula>
    </cfRule>
  </conditionalFormatting>
  <conditionalFormatting sqref="F225:G225">
    <cfRule type="containsBlanks" dxfId="11" priority="27">
      <formula>LEN(TRIM(F225))=0</formula>
    </cfRule>
  </conditionalFormatting>
  <conditionalFormatting sqref="F241:G241">
    <cfRule type="containsBlanks" dxfId="10" priority="24">
      <formula>LEN(TRIM(F241))=0</formula>
    </cfRule>
  </conditionalFormatting>
  <conditionalFormatting sqref="F257:G257">
    <cfRule type="containsBlanks" dxfId="9" priority="23">
      <formula>LEN(TRIM(F257))=0</formula>
    </cfRule>
  </conditionalFormatting>
  <conditionalFormatting sqref="F273:G273">
    <cfRule type="containsBlanks" dxfId="8" priority="22">
      <formula>LEN(TRIM(F273))=0</formula>
    </cfRule>
  </conditionalFormatting>
  <conditionalFormatting sqref="F288:G288">
    <cfRule type="containsBlanks" dxfId="7" priority="21">
      <formula>LEN(TRIM(F288))=0</formula>
    </cfRule>
  </conditionalFormatting>
  <conditionalFormatting sqref="F304:G304">
    <cfRule type="containsBlanks" dxfId="6" priority="20">
      <formula>LEN(TRIM(F304))=0</formula>
    </cfRule>
  </conditionalFormatting>
  <conditionalFormatting sqref="G36">
    <cfRule type="containsBlanks" dxfId="5" priority="108">
      <formula>LEN(TRIM(G36))=0</formula>
    </cfRule>
  </conditionalFormatting>
  <conditionalFormatting sqref="I46:O47">
    <cfRule type="expression" dxfId="4" priority="1">
      <formula>IncomeTotal&lt;=0</formula>
    </cfRule>
  </conditionalFormatting>
  <dataValidations count="16">
    <dataValidation type="decimal" operator="greaterThanOrEqual" allowBlank="1" showInputMessage="1" showErrorMessage="1" errorTitle="Invalid input" error="Please enter a valid amount greater than or equal to 0." sqref="D25:D34 D46:D55 D65:D74 D91:D100 D109:D118 D124:D133 D140:D149 D161:D170 D178:D187 D194:D203 D215:D224 D231:D240 D247:D256 D263:D272 D278:D287 D294:D303 D309:D318" xr:uid="{00000000-0002-0000-0000-000000000000}">
      <formula1>0</formula1>
    </dataValidation>
    <dataValidation type="decimal" operator="greaterThanOrEqual" showErrorMessage="1" errorTitle="Invalid input" error="Please enter a valid amount greater than or equal to 0." sqref="D307 D292 D275 D259:D261 D243:D245 D227:D229 D212:D213 D208:D210 D190:D192 D173:D176 D154:D159 D152 D136:D138 D121:D122 D103:D107 D87:D89 D84 D79:D82 D77 D60:D63 D39:D42 D12:D23" xr:uid="{00000000-0002-0000-0000-000001000000}">
      <formula1>0</formula1>
    </dataValidation>
    <dataValidation type="decimal" operator="greaterThanOrEqual" showInputMessage="1" showErrorMessage="1" errorTitle="Invalid input" error="Please enter a valid amount greater than or equal to 0." prompt="Tip: Start with a small automatic transfer on a regular basis and increase it progressively." sqref="D38" xr:uid="{00000000-0002-0000-0000-00000D000000}">
      <formula1>0</formula1>
    </dataValidation>
    <dataValidation type="decimal" operator="greaterThanOrEqual" showInputMessage="1" showErrorMessage="1" errorTitle="Invalid input" error="Please enter a valid amount greater than or equal to 0." prompt="Tip: When you buy a car, think beyond the payments and look at the total costs." sqref="D43" xr:uid="{00000000-0002-0000-0000-000012000000}">
      <formula1>0</formula1>
    </dataValidation>
    <dataValidation type="decimal" operator="greaterThanOrEqual" showInputMessage="1" showErrorMessage="1" errorTitle="Invalid input" error="Please enter a valid amount greater than or equal to 0." prompt="Tip: If you pay taxes every year, include the amount in your budget." sqref="D44" xr:uid="{00000000-0002-0000-0000-000013000000}">
      <formula1>0</formula1>
    </dataValidation>
    <dataValidation type="decimal" operator="greaterThanOrEqual" showInputMessage="1" showErrorMessage="1" errorTitle="Invalid input" error="Please enter a valid amount greater than or equal to 0." prompt="Tip: Shop around before renewing your mortgage." sqref="D78" xr:uid="{00000000-0002-0000-0000-000019000000}">
      <formula1>0</formula1>
    </dataValidation>
    <dataValidation type="decimal" operator="greaterThanOrEqual" showInputMessage="1" showErrorMessage="1" errorTitle="Invalid input" error="Please enter a valid amount greater than or equal to 0." prompt="Tip: Shop around and compare options before renewing your insurance." sqref="D83 D153" xr:uid="{00000000-0002-0000-0000-00001E000000}">
      <formula1>0</formula1>
    </dataValidation>
    <dataValidation type="decimal" operator="greaterThanOrEqual" showInputMessage="1" showErrorMessage="1" errorTitle="Invalid input" error="Please enter a valid amount greater than or equal to 0." prompt="Tip: Have you considered buying used equipment?" sqref="D85" xr:uid="{00000000-0002-0000-0000-000020000000}">
      <formula1>0</formula1>
    </dataValidation>
    <dataValidation type="decimal" operator="greaterThanOrEqual" showInputMessage="1" showErrorMessage="1" errorTitle="Invalid input" error="Please enter a valid amount greater than or equal to 0." prompt="Tip: Having a security system can lower your insurance costs." sqref="D86" xr:uid="{00000000-0002-0000-0000-000021000000}">
      <formula1>0</formula1>
    </dataValidation>
    <dataValidation type="decimal" operator="greaterThanOrEqual" showInputMessage="1" showErrorMessage="1" errorTitle="Invalid input" error="Please enter a valid amount greater than or equal to 0." prompt="Tip: Planning a trip? Budget for it now." sqref="D206" xr:uid="{00000000-0002-0000-0000-00003E000000}">
      <formula1>0</formula1>
    </dataValidation>
    <dataValidation type="decimal" operator="greaterThanOrEqual" showInputMessage="1" showErrorMessage="1" errorTitle="Invalid input" error="Please enter a valid amount greater than or equal to 0." prompt="Tip: Think about all the free ways to exercise!" sqref="D207" xr:uid="{00000000-0002-0000-0000-00003F000000}">
      <formula1>0</formula1>
    </dataValidation>
    <dataValidation type="decimal" operator="greaterThanOrEqual" showInputMessage="1" showErrorMessage="1" errorTitle="Invalid input" error="Please enter a valid amount greater than or equal to 0." prompt="Tip: Have you considered buying used equipment at a lower cost?" sqref="D211" xr:uid="{00000000-0002-0000-0000-000043000000}">
      <formula1>0</formula1>
    </dataValidation>
    <dataValidation type="decimal" operator="greaterThanOrEqual" showInputMessage="1" showErrorMessage="1" errorTitle="Invalid input" error="Please enter a valid amount greater than or equal to 0." prompt="Tip: Have you considered pet insurance?" sqref="D276" xr:uid="{00000000-0002-0000-0000-000050000000}">
      <formula1>0</formula1>
    </dataValidation>
    <dataValidation type="decimal" operator="greaterThanOrEqual" showInputMessage="1" showErrorMessage="1" errorTitle="Invalid input" error="Please enter a valid amount greater than or equal to 0." prompt="Tip: Many financial institutions offer low-cost and no-cost accounts." sqref="D290" xr:uid="{00000000-0002-0000-0000-000051000000}">
      <formula1>0</formula1>
    </dataValidation>
    <dataValidation type="decimal" operator="greaterThanOrEqual" showInputMessage="1" showErrorMessage="1" errorTitle="Invalid input" error="Please enter a valid amount greater than or equal to 0." prompt="Tip: Make sure you have the right card for your needs." sqref="D291" xr:uid="{00000000-0002-0000-0000-000052000000}">
      <formula1>0</formula1>
    </dataValidation>
    <dataValidation type="decimal" operator="greaterThanOrEqual" showInputMessage="1" showErrorMessage="1" errorTitle="Invalid input" error="Please enter a valid amount greater than or equal to 0." prompt="Tip: How about a gift exchange or homemade gifts?" sqref="D306" xr:uid="{00000000-0002-0000-0000-000054000000}">
      <formula1>0</formula1>
    </dataValidation>
  </dataValidations>
  <hyperlinks>
    <hyperlink ref="A2:O2" r:id="rId1" display="This planner is based off of resources from Canada's Financial Consumer Agency." xr:uid="{94D9AAF1-0D94-4051-8AB6-722715F9FF27}"/>
  </hyperlinks>
  <pageMargins left="0.7" right="0.7" top="0.75" bottom="0.75" header="0.3" footer="0.3"/>
  <pageSetup orientation="portrait"/>
  <drawing r:id="rId2"/>
  <legacyDrawing r:id="rId3"/>
  <tableParts count="17">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extLst>
    <ext xmlns:x14="http://schemas.microsoft.com/office/spreadsheetml/2009/9/main" uri="{78C0D931-6437-407d-A8EE-F0AAD7539E65}">
      <x14:conditionalFormattings>
        <x14:conditionalFormatting xmlns:xm="http://schemas.microsoft.com/office/excel/2006/main">
          <x14:cfRule type="iconSet" priority="61" id="{25CE49DE-95F4-4BA9-88D0-6A1E5097A283}">
            <x14:iconSet iconSet="3Symbols" showValue="0" custom="1">
              <x14:cfvo type="percent">
                <xm:f>0</xm:f>
              </x14:cfvo>
              <x14:cfvo type="num" gte="0">
                <xm:f>0</xm:f>
              </x14:cfvo>
              <x14:cfvo type="num" gte="0">
                <xm:f>1</xm:f>
              </x14:cfvo>
              <x14:cfIcon iconSet="3Symbols" iconId="0"/>
              <x14:cfIcon iconSet="NoIcons" iconId="0"/>
              <x14:cfIcon iconSet="NoIcons" iconId="0"/>
            </x14:iconSet>
          </x14:cfRule>
          <xm:sqref>E10</xm:sqref>
        </x14:conditionalFormatting>
        <x14:conditionalFormatting xmlns:xm="http://schemas.microsoft.com/office/excel/2006/main">
          <x14:cfRule type="iconSet" priority="54" id="{78D12E7A-EB07-4545-88E8-E7272154D981}">
            <x14:iconSet iconSet="4Arrows" showValue="0" custom="1">
              <x14:cfvo type="percent">
                <xm:f>0</xm:f>
              </x14:cfvo>
              <x14:cfvo type="num" gte="0">
                <xm:f>RulesOfThumb!$C$4</xm:f>
              </x14:cfvo>
              <x14:cfvo type="num" gte="0">
                <xm:f>RulesOfThumb!$F$4</xm:f>
              </x14:cfvo>
              <x14:cfvo type="num" gte="0">
                <xm:f>RulesOfThumb!$I$4</xm:f>
              </x14:cfvo>
              <x14:cfIcon iconSet="NoIcons" iconId="0"/>
              <x14:cfIcon iconSet="3Symbols" iconId="2"/>
              <x14:cfIcon iconSet="3Symbols" iconId="1"/>
              <x14:cfIcon iconSet="3Symbols" iconId="0"/>
            </x14:iconSet>
          </x14:cfRule>
          <xm:sqref>E58</xm:sqref>
        </x14:conditionalFormatting>
        <x14:conditionalFormatting xmlns:xm="http://schemas.microsoft.com/office/excel/2006/main">
          <x14:cfRule type="iconSet" priority="53" id="{0CBF4FED-F402-4CB2-ADCB-39E40FB325B9}">
            <x14:iconSet iconSet="4Arrows" showValue="0" custom="1">
              <x14:cfvo type="percent">
                <xm:f>0</xm:f>
              </x14:cfvo>
              <x14:cfvo type="num" gte="0">
                <xm:f>RulesOfThumb!$C$5</xm:f>
              </x14:cfvo>
              <x14:cfvo type="num" gte="0">
                <xm:f>RulesOfThumb!$F$5</xm:f>
              </x14:cfvo>
              <x14:cfvo type="num" gte="0">
                <xm:f>RulesOfThumb!$I$5</xm:f>
              </x14:cfvo>
              <x14:cfIcon iconSet="NoIcons" iconId="0"/>
              <x14:cfIcon iconSet="3Symbols" iconId="2"/>
              <x14:cfIcon iconSet="3Symbols" iconId="1"/>
              <x14:cfIcon iconSet="3Symbols" iconId="0"/>
            </x14:iconSet>
          </x14:cfRule>
          <xm:sqref>E75</xm:sqref>
        </x14:conditionalFormatting>
        <x14:conditionalFormatting xmlns:xm="http://schemas.microsoft.com/office/excel/2006/main">
          <x14:cfRule type="iconSet" priority="17" id="{978BE4AE-4258-4AD6-B1F3-DA710B39E08E}">
            <x14:iconSet iconSet="4Arrows" showValue="0" custom="1">
              <x14:cfvo type="percent">
                <xm:f>0</xm:f>
              </x14:cfvo>
              <x14:cfvo type="num" gte="0">
                <xm:f>RulesOfThumb!$C$6</xm:f>
              </x14:cfvo>
              <x14:cfvo type="num" gte="0">
                <xm:f>RulesOfThumb!$F$6</xm:f>
              </x14:cfvo>
              <x14:cfvo type="num" gte="0">
                <xm:f>RulesOfThumb!$I$6</xm:f>
              </x14:cfvo>
              <x14:cfIcon iconSet="NoIcons" iconId="0"/>
              <x14:cfIcon iconSet="3Symbols" iconId="2"/>
              <x14:cfIcon iconSet="3Symbols" iconId="1"/>
              <x14:cfIcon iconSet="3Symbols" iconId="0"/>
            </x14:iconSet>
          </x14:cfRule>
          <xm:sqref>E101</xm:sqref>
        </x14:conditionalFormatting>
        <x14:conditionalFormatting xmlns:xm="http://schemas.microsoft.com/office/excel/2006/main">
          <x14:cfRule type="iconSet" priority="51" id="{73799AA6-C700-44EF-8AB9-1DBBAEED8600}">
            <x14:iconSet iconSet="4Arrows" showValue="0" custom="1">
              <x14:cfvo type="percent">
                <xm:f>0</xm:f>
              </x14:cfvo>
              <x14:cfvo type="num" gte="0">
                <xm:f>RulesOfThumb!$C$7</xm:f>
              </x14:cfvo>
              <x14:cfvo type="num" gte="0">
                <xm:f>RulesOfThumb!$F$7</xm:f>
              </x14:cfvo>
              <x14:cfvo type="num" gte="0">
                <xm:f>RulesOfThumb!$I$7</xm:f>
              </x14:cfvo>
              <x14:cfIcon iconSet="3Symbols" iconId="0"/>
              <x14:cfIcon iconSet="3Symbols" iconId="2"/>
              <x14:cfIcon iconSet="3Symbols" iconId="1"/>
              <x14:cfIcon iconSet="3Symbols" iconId="0"/>
            </x14:iconSet>
          </x14:cfRule>
          <xm:sqref>E119</xm:sqref>
        </x14:conditionalFormatting>
        <x14:conditionalFormatting xmlns:xm="http://schemas.microsoft.com/office/excel/2006/main">
          <x14:cfRule type="iconSet" priority="50" id="{F747DC08-A312-4BBD-B9B6-CF914DE636CE}">
            <x14:iconSet iconSet="4Arrows" showValue="0" custom="1">
              <x14:cfvo type="percent">
                <xm:f>0</xm:f>
              </x14:cfvo>
              <x14:cfvo type="num" gte="0">
                <xm:f>RulesOfThumb!$C$8</xm:f>
              </x14:cfvo>
              <x14:cfvo type="num" gte="0">
                <xm:f>RulesOfThumb!$F$8</xm:f>
              </x14:cfvo>
              <x14:cfvo type="num" gte="0">
                <xm:f>RulesOfThumb!$I$8</xm:f>
              </x14:cfvo>
              <x14:cfIcon iconSet="3Symbols" iconId="0"/>
              <x14:cfIcon iconSet="3Symbols" iconId="2"/>
              <x14:cfIcon iconSet="3Symbols" iconId="1"/>
              <x14:cfIcon iconSet="3Symbols" iconId="0"/>
            </x14:iconSet>
          </x14:cfRule>
          <xm:sqref>E134</xm:sqref>
        </x14:conditionalFormatting>
        <x14:conditionalFormatting xmlns:xm="http://schemas.microsoft.com/office/excel/2006/main">
          <x14:cfRule type="iconSet" priority="48" id="{0D83EEE4-A086-4896-A147-4F15595326F5}">
            <x14:iconSet iconSet="4Arrows" showValue="0" custom="1">
              <x14:cfvo type="percent">
                <xm:f>0</xm:f>
              </x14:cfvo>
              <x14:cfvo type="num" gte="0">
                <xm:f>RulesOfThumb!$C$9</xm:f>
              </x14:cfvo>
              <x14:cfvo type="num" gte="0">
                <xm:f>RulesOfThumb!$F$9</xm:f>
              </x14:cfvo>
              <x14:cfvo type="num" gte="0">
                <xm:f>RulesOfThumb!$I$9</xm:f>
              </x14:cfvo>
              <x14:cfIcon iconSet="NoIcons" iconId="0"/>
              <x14:cfIcon iconSet="3Symbols" iconId="2"/>
              <x14:cfIcon iconSet="3Symbols" iconId="1"/>
              <x14:cfIcon iconSet="3Symbols" iconId="0"/>
            </x14:iconSet>
          </x14:cfRule>
          <xm:sqref>E150</xm:sqref>
        </x14:conditionalFormatting>
        <x14:conditionalFormatting xmlns:xm="http://schemas.microsoft.com/office/excel/2006/main">
          <x14:cfRule type="iconSet" priority="47" id="{DDB65B0B-13AB-4FB1-909C-2024AEDCF6A0}">
            <x14:iconSet iconSet="4Arrows" showValue="0" custom="1">
              <x14:cfvo type="percent">
                <xm:f>0</xm:f>
              </x14:cfvo>
              <x14:cfvo type="num" gte="0">
                <xm:f>RulesOfThumb!$C$10</xm:f>
              </x14:cfvo>
              <x14:cfvo type="num" gte="0">
                <xm:f>RulesOfThumb!$F$10</xm:f>
              </x14:cfvo>
              <x14:cfvo type="num" gte="0">
                <xm:f>RulesOfThumb!$I$10</xm:f>
              </x14:cfvo>
              <x14:cfIcon iconSet="NoIcons" iconId="0"/>
              <x14:cfIcon iconSet="3Symbols" iconId="2"/>
              <x14:cfIcon iconSet="3Symbols" iconId="1"/>
              <x14:cfIcon iconSet="3Symbols" iconId="0"/>
            </x14:iconSet>
          </x14:cfRule>
          <xm:sqref>E171</xm:sqref>
        </x14:conditionalFormatting>
        <x14:conditionalFormatting xmlns:xm="http://schemas.microsoft.com/office/excel/2006/main">
          <x14:cfRule type="iconSet" priority="46" id="{F69E2332-DA6B-4289-9455-160324E2163D}">
            <x14:iconSet iconSet="4Arrows" showValue="0" custom="1">
              <x14:cfvo type="percent">
                <xm:f>0</xm:f>
              </x14:cfvo>
              <x14:cfvo type="num" gte="0">
                <xm:f>RulesOfThumb!$C$11</xm:f>
              </x14:cfvo>
              <x14:cfvo type="num" gte="0">
                <xm:f>RulesOfThumb!$F$11</xm:f>
              </x14:cfvo>
              <x14:cfvo type="num" gte="0">
                <xm:f>RulesOfThumb!$I$11</xm:f>
              </x14:cfvo>
              <x14:cfIcon iconSet="NoIcons" iconId="0"/>
              <x14:cfIcon iconSet="3Symbols" iconId="2"/>
              <x14:cfIcon iconSet="3Symbols" iconId="1"/>
              <x14:cfIcon iconSet="3Symbols" iconId="0"/>
            </x14:iconSet>
          </x14:cfRule>
          <xm:sqref>E188</xm:sqref>
        </x14:conditionalFormatting>
        <x14:conditionalFormatting xmlns:xm="http://schemas.microsoft.com/office/excel/2006/main">
          <x14:cfRule type="iconSet" priority="45" id="{1BF9E943-425D-457D-A8FC-C137C2CA5D5B}">
            <x14:iconSet iconSet="4Arrows" showValue="0" custom="1">
              <x14:cfvo type="percent">
                <xm:f>0</xm:f>
              </x14:cfvo>
              <x14:cfvo type="num" gte="0">
                <xm:f>RulesOfThumb!$C$12</xm:f>
              </x14:cfvo>
              <x14:cfvo type="num" gte="0">
                <xm:f>RulesOfThumb!$F$12</xm:f>
              </x14:cfvo>
              <x14:cfvo type="num" gte="0">
                <xm:f>RulesOfThumb!$I$12</xm:f>
              </x14:cfvo>
              <x14:cfIcon iconSet="NoIcons" iconId="0"/>
              <x14:cfIcon iconSet="3Symbols" iconId="2"/>
              <x14:cfIcon iconSet="3Symbols" iconId="1"/>
              <x14:cfIcon iconSet="3Symbols" iconId="0"/>
            </x14:iconSet>
          </x14:cfRule>
          <xm:sqref>E204</xm:sqref>
        </x14:conditionalFormatting>
        <x14:conditionalFormatting xmlns:xm="http://schemas.microsoft.com/office/excel/2006/main">
          <x14:cfRule type="iconSet" priority="44" id="{0F2FA54E-A964-4C8C-AC15-79B7539E8FA6}">
            <x14:iconSet iconSet="4Arrows" showValue="0" custom="1">
              <x14:cfvo type="percent">
                <xm:f>0</xm:f>
              </x14:cfvo>
              <x14:cfvo type="num" gte="0">
                <xm:f>RulesOfThumb!$C$13</xm:f>
              </x14:cfvo>
              <x14:cfvo type="num" gte="0">
                <xm:f>RulesOfThumb!$F$13</xm:f>
              </x14:cfvo>
              <x14:cfvo type="num" gte="0">
                <xm:f>RulesOfThumb!$I$13</xm:f>
              </x14:cfvo>
              <x14:cfIcon iconSet="NoIcons" iconId="0"/>
              <x14:cfIcon iconSet="3Symbols" iconId="2"/>
              <x14:cfIcon iconSet="3Symbols" iconId="1"/>
              <x14:cfIcon iconSet="3Symbols" iconId="0"/>
            </x14:iconSet>
          </x14:cfRule>
          <xm:sqref>E225</xm:sqref>
        </x14:conditionalFormatting>
        <x14:conditionalFormatting xmlns:xm="http://schemas.microsoft.com/office/excel/2006/main">
          <x14:cfRule type="iconSet" priority="43" id="{DA19F768-E7AF-480F-983A-BC49ECA46F7A}">
            <x14:iconSet iconSet="4Arrows" showValue="0" custom="1">
              <x14:cfvo type="percent">
                <xm:f>0</xm:f>
              </x14:cfvo>
              <x14:cfvo type="num" gte="0">
                <xm:f>RulesOfThumb!$C$14</xm:f>
              </x14:cfvo>
              <x14:cfvo type="num" gte="0">
                <xm:f>RulesOfThumb!$F$14</xm:f>
              </x14:cfvo>
              <x14:cfvo type="num" gte="0">
                <xm:f>RulesOfThumb!$I$14</xm:f>
              </x14:cfvo>
              <x14:cfIcon iconSet="3Symbols" iconId="0"/>
              <x14:cfIcon iconSet="3Symbols" iconId="2"/>
              <x14:cfIcon iconSet="3Symbols" iconId="1"/>
              <x14:cfIcon iconSet="3Symbols" iconId="0"/>
            </x14:iconSet>
          </x14:cfRule>
          <xm:sqref>E241</xm:sqref>
        </x14:conditionalFormatting>
        <x14:conditionalFormatting xmlns:xm="http://schemas.microsoft.com/office/excel/2006/main">
          <x14:cfRule type="iconSet" priority="42" id="{9353B2CD-5B0D-419F-AF4F-6201ACE7873C}">
            <x14:iconSet iconSet="4Arrows" showValue="0" custom="1">
              <x14:cfvo type="percent">
                <xm:f>0</xm:f>
              </x14:cfvo>
              <x14:cfvo type="num" gte="0">
                <xm:f>RulesOfThumb!$C$15</xm:f>
              </x14:cfvo>
              <x14:cfvo type="num" gte="0">
                <xm:f>RulesOfThumb!$F$15</xm:f>
              </x14:cfvo>
              <x14:cfvo type="num" gte="0">
                <xm:f>RulesOfThumb!$I$15</xm:f>
              </x14:cfvo>
              <x14:cfIcon iconSet="NoIcons" iconId="0"/>
              <x14:cfIcon iconSet="3Symbols" iconId="2"/>
              <x14:cfIcon iconSet="3Symbols" iconId="1"/>
              <x14:cfIcon iconSet="3Symbols" iconId="0"/>
            </x14:iconSet>
          </x14:cfRule>
          <xm:sqref>E257</xm:sqref>
        </x14:conditionalFormatting>
        <x14:conditionalFormatting xmlns:xm="http://schemas.microsoft.com/office/excel/2006/main">
          <x14:cfRule type="iconSet" priority="41" id="{DC5412D8-3381-421C-9DB7-731732C5E27F}">
            <x14:iconSet iconSet="4Arrows" showValue="0" custom="1">
              <x14:cfvo type="percent">
                <xm:f>0</xm:f>
              </x14:cfvo>
              <x14:cfvo type="num" gte="0">
                <xm:f>RulesOfThumb!$C$16</xm:f>
              </x14:cfvo>
              <x14:cfvo type="num" gte="0">
                <xm:f>RulesOfThumb!$F$16</xm:f>
              </x14:cfvo>
              <x14:cfvo type="num" gte="0">
                <xm:f>RulesOfThumb!$I$16</xm:f>
              </x14:cfvo>
              <x14:cfIcon iconSet="NoIcons" iconId="0"/>
              <x14:cfIcon iconSet="3Symbols" iconId="2"/>
              <x14:cfIcon iconSet="3Symbols" iconId="1"/>
              <x14:cfIcon iconSet="3Symbols" iconId="0"/>
            </x14:iconSet>
          </x14:cfRule>
          <xm:sqref>E273</xm:sqref>
        </x14:conditionalFormatting>
        <x14:conditionalFormatting xmlns:xm="http://schemas.microsoft.com/office/excel/2006/main">
          <x14:cfRule type="iconSet" priority="40" id="{E3C989D7-7799-4A57-ABED-F51BA9F79396}">
            <x14:iconSet iconSet="4Arrows" showValue="0" custom="1">
              <x14:cfvo type="percent">
                <xm:f>0</xm:f>
              </x14:cfvo>
              <x14:cfvo type="num" gte="0">
                <xm:f>RulesOfThumb!$C$17</xm:f>
              </x14:cfvo>
              <x14:cfvo type="num" gte="0">
                <xm:f>RulesOfThumb!$F$17</xm:f>
              </x14:cfvo>
              <x14:cfvo type="num" gte="0">
                <xm:f>RulesOfThumb!$I$17</xm:f>
              </x14:cfvo>
              <x14:cfIcon iconSet="NoIcons" iconId="0"/>
              <x14:cfIcon iconSet="3Symbols" iconId="2"/>
              <x14:cfIcon iconSet="3Symbols" iconId="1"/>
              <x14:cfIcon iconSet="3Symbols" iconId="0"/>
            </x14:iconSet>
          </x14:cfRule>
          <xm:sqref>E288</xm:sqref>
        </x14:conditionalFormatting>
        <x14:conditionalFormatting xmlns:xm="http://schemas.microsoft.com/office/excel/2006/main">
          <x14:cfRule type="iconSet" priority="39" id="{9DA7916A-C1D1-43A3-AB8C-79C811A9DDB9}">
            <x14:iconSet iconSet="4Arrows" showValue="0" custom="1">
              <x14:cfvo type="percent">
                <xm:f>0</xm:f>
              </x14:cfvo>
              <x14:cfvo type="num" gte="0">
                <xm:f>RulesOfThumb!$C$18</xm:f>
              </x14:cfvo>
              <x14:cfvo type="num" gte="0">
                <xm:f>RulesOfThumb!$F$18</xm:f>
              </x14:cfvo>
              <x14:cfvo type="num" gte="0">
                <xm:f>RulesOfThumb!$I$18</xm:f>
              </x14:cfvo>
              <x14:cfIcon iconSet="NoIcons" iconId="0"/>
              <x14:cfIcon iconSet="3Symbols" iconId="2"/>
              <x14:cfIcon iconSet="3Symbols" iconId="1"/>
              <x14:cfIcon iconSet="3Symbols" iconId="0"/>
            </x14:iconSet>
          </x14:cfRule>
          <xm:sqref>E304</xm:sqref>
        </x14:conditionalFormatting>
        <x14:conditionalFormatting xmlns:xm="http://schemas.microsoft.com/office/excel/2006/main">
          <x14:cfRule type="iconSet" priority="59" id="{0659BB32-2EEF-421D-8A06-F4B50321018D}">
            <x14:iconSet iconSet="3Symbols" showValue="0" custom="1">
              <x14:cfvo type="percent">
                <xm:f>0</xm:f>
              </x14:cfvo>
              <x14:cfvo type="num" gte="0">
                <xm:f>RulesOfThumb!$F$3</xm:f>
              </x14:cfvo>
              <x14:cfvo type="num">
                <xm:f>RulesOfThumb!$C$3</xm:f>
              </x14:cfvo>
              <x14:cfIcon iconSet="3Symbols" iconId="0"/>
              <x14:cfIcon iconSet="3Symbols" iconId="1"/>
              <x14:cfIcon iconSet="3Symbols" iconId="2"/>
            </x14:iconSet>
          </x14:cfRule>
          <xm:sqref>F36</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Dropdowns!$A$2:$A$9</xm:f>
          </x14:formula1>
          <xm:sqref>E173:E187 E38:E55 E77:E100 E103:E118 E121:E133 E136:E149 E60:E74 E243:E256 E259:E272 E275:E287 E290:E303 E227:E240 E190:E203 E152:E170 E206:E224 E306:E318 E12:E34</xm:sqref>
        </x14:dataValidation>
        <x14:dataValidation type="list" allowBlank="1" showInputMessage="1" showErrorMessage="1" xr:uid="{00000000-0002-0000-0000-000002000000}">
          <x14:formula1>
            <xm:f>Dropdowns!$E$2:$E$7</xm:f>
          </x14:formula1>
          <xm:sqref>F38:F55</xm:sqref>
        </x14:dataValidation>
        <x14:dataValidation type="list" allowBlank="1" showInputMessage="1" showErrorMessage="1" xr:uid="{00000000-0002-0000-0000-000003000000}">
          <x14:formula1>
            <xm:f>Dropdowns!$A$12:$A$15</xm:f>
          </x14:formula1>
          <xm:sqref>D5</xm:sqref>
        </x14:dataValidation>
        <x14:dataValidation type="list" allowBlank="1" showInputMessage="1" showErrorMessage="1" xr:uid="{00000000-0002-0000-0000-000004000000}">
          <x14:formula1>
            <xm:f>Dropdowns!$G$2:$G$6</xm:f>
          </x14:formula1>
          <xm:sqref>D3:D4</xm:sqref>
        </x14:dataValidation>
        <x14:dataValidation type="list" allowBlank="1" showInputMessage="1" showErrorMessage="1" xr:uid="{00000000-0002-0000-0000-000005000000}">
          <x14:formula1>
            <xm:f>Dropdowns!$G$9:$G$13</xm:f>
          </x14:formula1>
          <xm:sqref>F3:F4</xm:sqref>
        </x14:dataValidation>
        <x14:dataValidation type="list" allowBlank="1" showInputMessage="1" showErrorMessage="1" xr:uid="{00000000-0002-0000-0000-000006000000}">
          <x14:formula1>
            <xm:f>Dropdowns!$G$26:$G$28</xm:f>
          </x14:formula1>
          <xm:sqref>J3:J4</xm:sqref>
        </x14:dataValidation>
        <x14:dataValidation type="list" allowBlank="1" showInputMessage="1" showErrorMessage="1" xr:uid="{00000000-0002-0000-0000-000007000000}">
          <x14:formula1>
            <xm:f>Dropdowns!$G$16:$G$22</xm:f>
          </x14:formula1>
          <xm:sqref>H3:H4</xm:sqref>
        </x14:dataValidation>
        <x14:dataValidation type="list" allowBlank="1" showInputMessage="1" showErrorMessage="1" xr:uid="{00000000-0002-0000-0000-000008000000}">
          <x14:formula1>
            <xm:f>Dropdowns!$G$31:$G$35</xm:f>
          </x14:formula1>
          <xm:sqref>L3:M4 Y3:Y4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showGridLines="0"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16.5703125" style="23" bestFit="1" customWidth="1"/>
    <col min="2" max="2" width="128" style="22" customWidth="1"/>
    <col min="3" max="3" width="31.7109375" style="4" customWidth="1"/>
    <col min="4" max="4" width="9.140625" style="3" customWidth="1"/>
    <col min="5" max="16384" width="9.140625" style="3"/>
  </cols>
  <sheetData>
    <row r="1" spans="1:3" ht="27.95" customHeight="1" x14ac:dyDescent="0.25">
      <c r="A1" s="133" t="s">
        <v>18</v>
      </c>
      <c r="B1" s="133"/>
      <c r="C1" s="133"/>
    </row>
    <row r="2" spans="1:3" x14ac:dyDescent="0.25">
      <c r="A2" s="113" t="s">
        <v>0</v>
      </c>
      <c r="B2" s="114" t="s">
        <v>18</v>
      </c>
      <c r="C2" s="115" t="s">
        <v>19</v>
      </c>
    </row>
    <row r="3" spans="1:3" ht="75" customHeight="1" x14ac:dyDescent="0.25">
      <c r="A3" s="116" t="str">
        <f>IFERROR(VLOOKUP(1,SuggestionCalculations!G2:K43,5,FALSE),"")</f>
        <v>Info</v>
      </c>
      <c r="B3" s="117" t="str">
        <f>IFERROR(VLOOKUP(1,SuggestionCalculations!G2:K43,2,FALSE),"")</f>
        <v>Enter your income in order to view your suggestions</v>
      </c>
      <c r="C3" s="118">
        <f>IFERROR(HYPERLINK(VLOOKUP(1,SuggestionCalculations!G2:K43,4,FALSE),VLOOKUP(1,SuggestionCalculations!G2:K43,3,FALSE)),"")</f>
        <v>0</v>
      </c>
    </row>
    <row r="4" spans="1:3" ht="75" customHeight="1" x14ac:dyDescent="0.25">
      <c r="A4" s="119" t="str">
        <f>IFERROR(VLOOKUP(2,SuggestionCalculations!G2:K43,5,FALSE),"")</f>
        <v/>
      </c>
      <c r="B4" s="117" t="str">
        <f>IFERROR(VLOOKUP(2,SuggestionCalculations!G2:K43,2,FALSE),"")</f>
        <v/>
      </c>
      <c r="C4" s="120" t="str">
        <f>IFERROR(HYPERLINK(VLOOKUP(2,SuggestionCalculations!G2:K43,4,FALSE),VLOOKUP(2,SuggestionCalculations!G2:K43,3,FALSE)),"")</f>
        <v/>
      </c>
    </row>
    <row r="5" spans="1:3" ht="75" customHeight="1" x14ac:dyDescent="0.25">
      <c r="A5" s="119" t="str">
        <f>IFERROR(VLOOKUP(3,SuggestionCalculations!G2:K43,5,FALSE),"")</f>
        <v/>
      </c>
      <c r="B5" s="117" t="str">
        <f>IFERROR(VLOOKUP(3,SuggestionCalculations!G2:K43,2,FALSE),"")</f>
        <v/>
      </c>
      <c r="C5" s="120" t="str">
        <f>IFERROR(HYPERLINK(VLOOKUP(3,SuggestionCalculations!G2:K43,4,FALSE),VLOOKUP(3,SuggestionCalculations!G2:K43,3,FALSE)),"")</f>
        <v/>
      </c>
    </row>
    <row r="6" spans="1:3" ht="75" customHeight="1" x14ac:dyDescent="0.25">
      <c r="A6" s="119" t="str">
        <f>IFERROR(VLOOKUP(4,SuggestionCalculations!G2:K43,5,FALSE),"")</f>
        <v/>
      </c>
      <c r="B6" s="117" t="str">
        <f>IFERROR(VLOOKUP(4,SuggestionCalculations!G2:K43,2,FALSE),"")</f>
        <v/>
      </c>
      <c r="C6" s="120" t="str">
        <f>IFERROR(HYPERLINK(VLOOKUP(4,SuggestionCalculations!G2:K43,4,FALSE),VLOOKUP(4,SuggestionCalculations!G2:K43,3,FALSE)),"")</f>
        <v/>
      </c>
    </row>
    <row r="7" spans="1:3" ht="75" customHeight="1" x14ac:dyDescent="0.25">
      <c r="A7" s="119" t="str">
        <f>IFERROR(VLOOKUP(5,SuggestionCalculations!G2:K43,5,FALSE),"")</f>
        <v/>
      </c>
      <c r="B7" s="117" t="str">
        <f>IFERROR(VLOOKUP(5,SuggestionCalculations!G2:K43,2,FALSE),"")</f>
        <v/>
      </c>
      <c r="C7" s="120" t="str">
        <f>IFERROR(HYPERLINK(VLOOKUP(5,SuggestionCalculations!G2:K43,4,FALSE),VLOOKUP(5,SuggestionCalculations!G2:K43,3,FALSE)),"")</f>
        <v/>
      </c>
    </row>
    <row r="8" spans="1:3" ht="75" customHeight="1" x14ac:dyDescent="0.25">
      <c r="A8" s="119" t="str">
        <f>IFERROR(VLOOKUP(6,SuggestionCalculations!G2:K43,5,FALSE),"")</f>
        <v/>
      </c>
      <c r="B8" s="117" t="str">
        <f>IFERROR(VLOOKUP(6,SuggestionCalculations!G2:K43,2,FALSE),"")</f>
        <v/>
      </c>
      <c r="C8" s="120" t="str">
        <f>IFERROR(HYPERLINK(VLOOKUP(6,SuggestionCalculations!G2:K43,4,FALSE),VLOOKUP(6,SuggestionCalculations!G2:K43,3,FALSE)),"")</f>
        <v/>
      </c>
    </row>
    <row r="9" spans="1:3" ht="75" customHeight="1" x14ac:dyDescent="0.25">
      <c r="A9" s="119" t="str">
        <f>IFERROR(VLOOKUP(7,SuggestionCalculations!G2:K43,5,FALSE),"")</f>
        <v/>
      </c>
      <c r="B9" s="117" t="str">
        <f>IFERROR(VLOOKUP(7,SuggestionCalculations!G2:K43,2,FALSE),"")</f>
        <v/>
      </c>
      <c r="C9" s="120" t="str">
        <f>IFERROR(HYPERLINK(VLOOKUP(7,SuggestionCalculations!G2:K43,4,FALSE),VLOOKUP(7,SuggestionCalculations!G2:K43,3,FALSE)),"")</f>
        <v/>
      </c>
    </row>
    <row r="10" spans="1:3" ht="75" customHeight="1" x14ac:dyDescent="0.25">
      <c r="A10" s="119" t="str">
        <f>IFERROR(VLOOKUP(8,SuggestionCalculations!G2:K43,5,FALSE),"")</f>
        <v/>
      </c>
      <c r="B10" s="117" t="str">
        <f>IFERROR(VLOOKUP(8,SuggestionCalculations!G2:K43,2,FALSE),"")</f>
        <v/>
      </c>
      <c r="C10" s="120" t="str">
        <f>IFERROR(HYPERLINK(VLOOKUP(8,SuggestionCalculations!G2:K43,4,FALSE),VLOOKUP(8,SuggestionCalculations!G2:K43,3,FALSE)),"")</f>
        <v/>
      </c>
    </row>
    <row r="11" spans="1:3" ht="75" customHeight="1" x14ac:dyDescent="0.25">
      <c r="A11" s="119" t="str">
        <f>IFERROR(VLOOKUP(9,SuggestionCalculations!G2:K43,5,FALSE),"")</f>
        <v/>
      </c>
      <c r="B11" s="117" t="str">
        <f>IFERROR(VLOOKUP(9,SuggestionCalculations!G2:K43,2,FALSE),"")</f>
        <v/>
      </c>
      <c r="C11" s="120" t="str">
        <f>IFERROR(HYPERLINK(VLOOKUP(9,SuggestionCalculations!G2:K43,4,FALSE),VLOOKUP(9,SuggestionCalculations!G2:K43,3,FALSE)),"")</f>
        <v/>
      </c>
    </row>
    <row r="12" spans="1:3" ht="75" customHeight="1" x14ac:dyDescent="0.25">
      <c r="A12" s="119" t="str">
        <f>IFERROR(VLOOKUP(10,SuggestionCalculations!G2:K43,5,FALSE),"")</f>
        <v/>
      </c>
      <c r="B12" s="117" t="str">
        <f>IFERROR(VLOOKUP(10,SuggestionCalculations!G2:K43,2,FALSE),"")</f>
        <v/>
      </c>
      <c r="C12" s="120" t="str">
        <f>IFERROR(HYPERLINK(VLOOKUP(10,SuggestionCalculations!G2:K43,4,FALSE),VLOOKUP(10,SuggestionCalculations!G2:K43,3,FALSE)),"")</f>
        <v/>
      </c>
    </row>
    <row r="13" spans="1:3" ht="75" customHeight="1" x14ac:dyDescent="0.25">
      <c r="A13" s="119" t="str">
        <f>IFERROR(VLOOKUP(11,SuggestionCalculations!G2:K43,5,FALSE),"")</f>
        <v/>
      </c>
      <c r="B13" s="117" t="str">
        <f>IFERROR(VLOOKUP(11,SuggestionCalculations!G2:K43,2,FALSE),"")</f>
        <v/>
      </c>
      <c r="C13" s="120" t="str">
        <f>IFERROR(HYPERLINK(VLOOKUP(11,SuggestionCalculations!G2:K43,4,FALSE),VLOOKUP(11,SuggestionCalculations!G2:K43,3,FALSE)),"")</f>
        <v/>
      </c>
    </row>
    <row r="14" spans="1:3" ht="75" customHeight="1" x14ac:dyDescent="0.25">
      <c r="A14" s="119" t="str">
        <f>IFERROR(VLOOKUP(12,SuggestionCalculations!G2:K43,5,FALSE),"")</f>
        <v/>
      </c>
      <c r="B14" s="117" t="str">
        <f>IFERROR(VLOOKUP(12,SuggestionCalculations!G2:K43,2,FALSE),"")</f>
        <v/>
      </c>
      <c r="C14" s="120" t="str">
        <f>IFERROR(HYPERLINK(VLOOKUP(12,SuggestionCalculations!G2:K43,4,FALSE),VLOOKUP(12,SuggestionCalculations!G2:K43,3,FALSE)),"")</f>
        <v/>
      </c>
    </row>
    <row r="15" spans="1:3" ht="75" customHeight="1" x14ac:dyDescent="0.25">
      <c r="A15" s="119" t="str">
        <f>IFERROR(VLOOKUP(13,SuggestionCalculations!G2:K43,5,FALSE),"")</f>
        <v/>
      </c>
      <c r="B15" s="117" t="str">
        <f>IFERROR(VLOOKUP(13,SuggestionCalculations!G2:K43,2,FALSE),"")</f>
        <v/>
      </c>
      <c r="C15" s="120" t="str">
        <f>IFERROR(HYPERLINK(VLOOKUP(13,SuggestionCalculations!G2:K43,4,FALSE),VLOOKUP(13,SuggestionCalculations!G2:K43,3,FALSE)),"")</f>
        <v/>
      </c>
    </row>
    <row r="16" spans="1:3" ht="75" customHeight="1" x14ac:dyDescent="0.25">
      <c r="A16" s="119" t="str">
        <f>IFERROR(VLOOKUP(14,SuggestionCalculations!G2:K43,5,FALSE),"")</f>
        <v/>
      </c>
      <c r="B16" s="117" t="str">
        <f>IFERROR(VLOOKUP(14,SuggestionCalculations!G2:K43,2,FALSE),"")</f>
        <v/>
      </c>
      <c r="C16" s="120" t="str">
        <f>IFERROR(HYPERLINK(VLOOKUP(14,SuggestionCalculations!G2:K43,4,FALSE),VLOOKUP(14,SuggestionCalculations!G2:K43,3,FALSE)),"")</f>
        <v/>
      </c>
    </row>
    <row r="17" spans="1:3" ht="75" customHeight="1" x14ac:dyDescent="0.25">
      <c r="A17" s="119" t="str">
        <f>IFERROR(VLOOKUP(15,SuggestionCalculations!G2:K43,5,FALSE),"")</f>
        <v/>
      </c>
      <c r="B17" s="117" t="str">
        <f>IFERROR(VLOOKUP(15,SuggestionCalculations!G2:K43,2,FALSE),"")</f>
        <v/>
      </c>
      <c r="C17" s="120" t="str">
        <f>IFERROR(HYPERLINK(VLOOKUP(15,SuggestionCalculations!G2:K43,4,FALSE),VLOOKUP(15,SuggestionCalculations!G2:K43,3,FALSE)),"")</f>
        <v/>
      </c>
    </row>
    <row r="18" spans="1:3" ht="75" customHeight="1" x14ac:dyDescent="0.25">
      <c r="A18" s="119" t="str">
        <f>IFERROR(VLOOKUP(16,SuggestionCalculations!G2:K43,5,FALSE),"")</f>
        <v/>
      </c>
      <c r="B18" s="117" t="str">
        <f>IFERROR(VLOOKUP(16,SuggestionCalculations!G2:K43,2,FALSE),"")</f>
        <v/>
      </c>
      <c r="C18" s="120" t="str">
        <f>IFERROR(HYPERLINK(VLOOKUP(16,SuggestionCalculations!G2:K43,4,FALSE),VLOOKUP(16,SuggestionCalculations!G2:K43,3,FALSE)),"")</f>
        <v/>
      </c>
    </row>
    <row r="19" spans="1:3" ht="75" customHeight="1" x14ac:dyDescent="0.25">
      <c r="A19" s="119" t="str">
        <f>IFERROR(VLOOKUP(17,SuggestionCalculations!G2:K43,5,FALSE),"")</f>
        <v/>
      </c>
      <c r="B19" s="117" t="str">
        <f>IFERROR(VLOOKUP(17,SuggestionCalculations!G2:K43,2,FALSE),"")</f>
        <v/>
      </c>
      <c r="C19" s="120" t="str">
        <f>IFERROR(HYPERLINK(VLOOKUP(17,SuggestionCalculations!G2:K43,4,FALSE),VLOOKUP(17,SuggestionCalculations!G2:K43,3,FALSE)),"")</f>
        <v/>
      </c>
    </row>
    <row r="20" spans="1:3" ht="75" customHeight="1" x14ac:dyDescent="0.25">
      <c r="A20" s="119" t="str">
        <f>IFERROR(VLOOKUP(18,SuggestionCalculations!G2:K43,5,FALSE),"")</f>
        <v/>
      </c>
      <c r="B20" s="117" t="str">
        <f>IFERROR(VLOOKUP(18,SuggestionCalculations!G2:K43,2,FALSE),"")</f>
        <v/>
      </c>
      <c r="C20" s="120" t="str">
        <f>IFERROR(HYPERLINK(VLOOKUP(18,SuggestionCalculations!G2:K43,4,FALSE),VLOOKUP(18,SuggestionCalculations!G2:K43,3,FALSE)),"")</f>
        <v/>
      </c>
    </row>
    <row r="21" spans="1:3" ht="75" customHeight="1" x14ac:dyDescent="0.25">
      <c r="A21" s="119" t="str">
        <f>IFERROR(VLOOKUP(19,SuggestionCalculations!G2:K43,5,FALSE),"")</f>
        <v/>
      </c>
      <c r="B21" s="117" t="str">
        <f>IFERROR(VLOOKUP(19,SuggestionCalculations!G2:K43,2,FALSE),"")</f>
        <v/>
      </c>
      <c r="C21" s="120" t="str">
        <f>IFERROR(HYPERLINK(VLOOKUP(19,SuggestionCalculations!G2:K43,4,FALSE),VLOOKUP(19,SuggestionCalculations!G2:K43,3,FALSE)),"")</f>
        <v/>
      </c>
    </row>
    <row r="22" spans="1:3" ht="75" customHeight="1" x14ac:dyDescent="0.25">
      <c r="A22" s="119" t="str">
        <f>IFERROR(VLOOKUP(20,SuggestionCalculations!G2:K43,5,FALSE),"")</f>
        <v/>
      </c>
      <c r="B22" s="117" t="str">
        <f>IFERROR(VLOOKUP(20,SuggestionCalculations!G2:K43,2,FALSE),"")</f>
        <v/>
      </c>
      <c r="C22" s="120" t="str">
        <f>IFERROR(HYPERLINK(VLOOKUP(20,SuggestionCalculations!G2:K43,4,FALSE),VLOOKUP(20,SuggestionCalculations!G2:K43,3,FALSE)),"")</f>
        <v/>
      </c>
    </row>
    <row r="23" spans="1:3" ht="75" customHeight="1" x14ac:dyDescent="0.25">
      <c r="A23" s="119" t="str">
        <f>IFERROR(VLOOKUP(21,SuggestionCalculations!G2:K43,5,FALSE),"")</f>
        <v/>
      </c>
      <c r="B23" s="117" t="str">
        <f>IFERROR(VLOOKUP(21,SuggestionCalculations!G2:K43,2,FALSE),"")</f>
        <v/>
      </c>
      <c r="C23" s="120" t="str">
        <f>IFERROR(HYPERLINK(VLOOKUP(21,SuggestionCalculations!G2:K43,4,FALSE),VLOOKUP(21,SuggestionCalculations!G2:K43,3,FALSE)),"")</f>
        <v/>
      </c>
    </row>
    <row r="24" spans="1:3" ht="75" customHeight="1" x14ac:dyDescent="0.25">
      <c r="A24" s="119" t="str">
        <f>IFERROR(VLOOKUP(22,SuggestionCalculations!G2:K43,5,FALSE),"")</f>
        <v/>
      </c>
      <c r="B24" s="117" t="str">
        <f>IFERROR(VLOOKUP(22,SuggestionCalculations!G2:K43,2,FALSE),"")</f>
        <v/>
      </c>
      <c r="C24" s="120" t="str">
        <f>IFERROR(HYPERLINK(VLOOKUP(22,SuggestionCalculations!G2:K43,4,FALSE),VLOOKUP(22,SuggestionCalculations!G2:K43,3,FALSE)),"")</f>
        <v/>
      </c>
    </row>
    <row r="25" spans="1:3" ht="75" customHeight="1" x14ac:dyDescent="0.25">
      <c r="A25" s="119" t="str">
        <f>IFERROR(VLOOKUP(23,SuggestionCalculations!G2:K43,5,FALSE),"")</f>
        <v/>
      </c>
      <c r="B25" s="117" t="str">
        <f>IFERROR(VLOOKUP(23,SuggestionCalculations!G2:K43,2,FALSE),"")</f>
        <v/>
      </c>
      <c r="C25" s="120" t="str">
        <f>IFERROR(HYPERLINK(VLOOKUP(23,SuggestionCalculations!G2:K43,4,FALSE),VLOOKUP(23,SuggestionCalculations!G2:K43,3,FALSE)),"")</f>
        <v/>
      </c>
    </row>
    <row r="26" spans="1:3" ht="75" customHeight="1" x14ac:dyDescent="0.25">
      <c r="A26" s="119" t="str">
        <f>IFERROR(VLOOKUP(24,SuggestionCalculations!G2:K43,5,FALSE),"")</f>
        <v/>
      </c>
      <c r="B26" s="117" t="str">
        <f>IFERROR(VLOOKUP(24,SuggestionCalculations!G2:K43,2,FALSE),"")</f>
        <v/>
      </c>
      <c r="C26" s="120" t="str">
        <f>IFERROR(HYPERLINK(VLOOKUP(24,SuggestionCalculations!G2:K43,4,FALSE),VLOOKUP(24,SuggestionCalculations!G2:K43,3,FALSE)),"")</f>
        <v/>
      </c>
    </row>
    <row r="27" spans="1:3" ht="75" customHeight="1" x14ac:dyDescent="0.25">
      <c r="A27" s="119" t="str">
        <f>IFERROR(VLOOKUP(25,SuggestionCalculations!G2:K43,5,FALSE),"")</f>
        <v/>
      </c>
      <c r="B27" s="117" t="str">
        <f>IFERROR(VLOOKUP(25,SuggestionCalculations!G2:K43,2,FALSE),"")</f>
        <v/>
      </c>
      <c r="C27" s="120" t="str">
        <f>IFERROR(HYPERLINK(VLOOKUP(25,SuggestionCalculations!G2:K43,4,FALSE),VLOOKUP(25,SuggestionCalculations!G2:K43,3,FALSE)),"")</f>
        <v/>
      </c>
    </row>
    <row r="28" spans="1:3" ht="75" customHeight="1" x14ac:dyDescent="0.25">
      <c r="A28" s="119" t="str">
        <f>IFERROR(VLOOKUP(26,SuggestionCalculations!G2:K43,5,FALSE),"")</f>
        <v/>
      </c>
      <c r="B28" s="117" t="str">
        <f>IFERROR(VLOOKUP(26,SuggestionCalculations!G2:K43,2,FALSE),"")</f>
        <v/>
      </c>
      <c r="C28" s="120" t="str">
        <f>IFERROR(HYPERLINK(VLOOKUP(26,SuggestionCalculations!G2:K43,4,FALSE),VLOOKUP(26,SuggestionCalculations!G2:K43,3,FALSE)),"")</f>
        <v/>
      </c>
    </row>
    <row r="29" spans="1:3" ht="75" customHeight="1" x14ac:dyDescent="0.25">
      <c r="A29" s="119" t="str">
        <f>IFERROR(VLOOKUP(27,SuggestionCalculations!G2:K43,5,FALSE),"")</f>
        <v/>
      </c>
      <c r="B29" s="117" t="str">
        <f>IFERROR(VLOOKUP(27,SuggestionCalculations!G2:K43,2,FALSE),"")</f>
        <v/>
      </c>
      <c r="C29" s="120" t="str">
        <f>IFERROR(HYPERLINK(VLOOKUP(27,SuggestionCalculations!G2:K43,4,FALSE),VLOOKUP(27,SuggestionCalculations!G2:K43,3,FALSE)),"")</f>
        <v/>
      </c>
    </row>
    <row r="30" spans="1:3" ht="75" customHeight="1" x14ac:dyDescent="0.25">
      <c r="A30" s="119" t="str">
        <f>IFERROR(VLOOKUP(28,SuggestionCalculations!G2:K43,5,FALSE),"")</f>
        <v/>
      </c>
      <c r="B30" s="117" t="str">
        <f>IFERROR(VLOOKUP(28,SuggestionCalculations!G2:K43,2,FALSE),"")</f>
        <v/>
      </c>
      <c r="C30" s="120" t="str">
        <f>IFERROR(HYPERLINK(VLOOKUP(28,SuggestionCalculations!G2:K43,4,FALSE),VLOOKUP(28,SuggestionCalculations!G2:K43,3,FALSE)),"")</f>
        <v/>
      </c>
    </row>
    <row r="31" spans="1:3" ht="75" customHeight="1" x14ac:dyDescent="0.25">
      <c r="A31" s="119" t="str">
        <f>IFERROR(VLOOKUP(29,SuggestionCalculations!G2:K43,5,FALSE),"")</f>
        <v/>
      </c>
      <c r="B31" s="117" t="str">
        <f>IFERROR(VLOOKUP(29,SuggestionCalculations!G2:K43,2,FALSE),"")</f>
        <v/>
      </c>
      <c r="C31" s="120" t="str">
        <f>IFERROR(HYPERLINK(VLOOKUP(29,SuggestionCalculations!G2:K43,4,FALSE),VLOOKUP(29,SuggestionCalculations!G2:K43,3,FALSE)),"")</f>
        <v/>
      </c>
    </row>
    <row r="32" spans="1:3" ht="75" customHeight="1" x14ac:dyDescent="0.25">
      <c r="A32" s="119" t="str">
        <f>IFERROR(VLOOKUP(30,SuggestionCalculations!G2:K43,5,FALSE),"")</f>
        <v/>
      </c>
      <c r="B32" s="117" t="str">
        <f>IFERROR(VLOOKUP(30,SuggestionCalculations!G2:K43,2,FALSE),"")</f>
        <v/>
      </c>
      <c r="C32" s="120" t="str">
        <f>IFERROR(HYPERLINK(VLOOKUP(30,SuggestionCalculations!G2:K43,4,FALSE),VLOOKUP(30,SuggestionCalculations!G2:K43,3,FALSE)),"")</f>
        <v/>
      </c>
    </row>
    <row r="33" spans="1:3" ht="75" customHeight="1" x14ac:dyDescent="0.25">
      <c r="A33" s="119" t="str">
        <f>IFERROR(VLOOKUP(31,SuggestionCalculations!G2:K43,5,FALSE),"")</f>
        <v/>
      </c>
      <c r="B33" s="117" t="str">
        <f>IFERROR(VLOOKUP(31,SuggestionCalculations!G2:K43,2,FALSE),"")</f>
        <v/>
      </c>
      <c r="C33" s="120" t="str">
        <f>IFERROR(HYPERLINK(VLOOKUP(31,SuggestionCalculations!G2:K43,4,FALSE),VLOOKUP(31,SuggestionCalculations!G2:K43,3,FALSE)),"")</f>
        <v/>
      </c>
    </row>
    <row r="34" spans="1:3" ht="75" customHeight="1" x14ac:dyDescent="0.25">
      <c r="A34" s="119" t="str">
        <f>IFERROR(VLOOKUP(32,SuggestionCalculations!G2:K43,5,FALSE),"")</f>
        <v/>
      </c>
      <c r="B34" s="117" t="str">
        <f>IFERROR(VLOOKUP(32,SuggestionCalculations!G2:K43,2,FALSE),"")</f>
        <v/>
      </c>
      <c r="C34" s="120" t="str">
        <f>IFERROR(HYPERLINK(VLOOKUP(32,SuggestionCalculations!G2:K43,4,FALSE),VLOOKUP(32,SuggestionCalculations!G2:K43,3,FALSE)),"")</f>
        <v/>
      </c>
    </row>
    <row r="35" spans="1:3" ht="75" customHeight="1" x14ac:dyDescent="0.25">
      <c r="A35" s="119" t="str">
        <f>IFERROR(VLOOKUP(33,SuggestionCalculations!G2:K43,5,FALSE),"")</f>
        <v/>
      </c>
      <c r="B35" s="117" t="str">
        <f>IFERROR(VLOOKUP(33,SuggestionCalculations!G2:K43,2,FALSE),"")</f>
        <v/>
      </c>
      <c r="C35" s="120" t="str">
        <f>IFERROR(HYPERLINK(VLOOKUP(33,SuggestionCalculations!G2:K43,4,FALSE),VLOOKUP(33,SuggestionCalculations!G2:K43,3,FALSE)),"")</f>
        <v/>
      </c>
    </row>
    <row r="36" spans="1:3" ht="75" customHeight="1" x14ac:dyDescent="0.25">
      <c r="A36" s="119" t="str">
        <f>IFERROR(VLOOKUP(34,SuggestionCalculations!G2:K43,5,FALSE),"")</f>
        <v/>
      </c>
      <c r="B36" s="117" t="str">
        <f>IFERROR(VLOOKUP(34,SuggestionCalculations!G2:K43,2,FALSE),"")</f>
        <v/>
      </c>
      <c r="C36" s="120" t="str">
        <f>IFERROR(HYPERLINK(VLOOKUP(34,SuggestionCalculations!G2:K43,4,FALSE),VLOOKUP(34,SuggestionCalculations!G2:K43,3,FALSE)),"")</f>
        <v/>
      </c>
    </row>
    <row r="37" spans="1:3" ht="75" customHeight="1" x14ac:dyDescent="0.25">
      <c r="A37" s="119" t="str">
        <f>IFERROR(VLOOKUP(35,SuggestionCalculations!G2:K43,5,FALSE),"")</f>
        <v/>
      </c>
      <c r="B37" s="117" t="str">
        <f>IFERROR(VLOOKUP(35,SuggestionCalculations!G2:K43,2,FALSE),"")</f>
        <v/>
      </c>
      <c r="C37" s="120" t="str">
        <f>IFERROR(HYPERLINK(VLOOKUP(35,SuggestionCalculations!G2:K43,4,FALSE),VLOOKUP(35,SuggestionCalculations!G2:K43,3,FALSE)),"")</f>
        <v/>
      </c>
    </row>
    <row r="38" spans="1:3" ht="75" customHeight="1" x14ac:dyDescent="0.25">
      <c r="A38" s="119" t="str">
        <f>IFERROR(VLOOKUP(36,SuggestionCalculations!G2:K43,5,FALSE),"")</f>
        <v/>
      </c>
      <c r="B38" s="117" t="str">
        <f>IFERROR(VLOOKUP(36,SuggestionCalculations!G2:K43,2,FALSE),"")</f>
        <v/>
      </c>
      <c r="C38" s="120" t="str">
        <f>IFERROR(HYPERLINK(VLOOKUP(36,SuggestionCalculations!G2:K43,4,FALSE),VLOOKUP(36,SuggestionCalculations!G2:K43,3,FALSE)),"")</f>
        <v/>
      </c>
    </row>
    <row r="39" spans="1:3" ht="75" customHeight="1" x14ac:dyDescent="0.25">
      <c r="A39" s="119" t="str">
        <f>IFERROR(VLOOKUP(37,SuggestionCalculations!G2:K43,5,FALSE),"")</f>
        <v/>
      </c>
      <c r="B39" s="117" t="str">
        <f>IFERROR(VLOOKUP(37,SuggestionCalculations!G2:K43,2,FALSE),"")</f>
        <v/>
      </c>
      <c r="C39" s="120" t="str">
        <f>IFERROR(HYPERLINK(VLOOKUP(37,SuggestionCalculations!G2:K43,4,FALSE),VLOOKUP(37,SuggestionCalculations!G2:K43,3,FALSE)),"")</f>
        <v/>
      </c>
    </row>
    <row r="40" spans="1:3" ht="75" customHeight="1" x14ac:dyDescent="0.25">
      <c r="A40" s="119" t="str">
        <f>IFERROR(VLOOKUP(38,SuggestionCalculations!G2:K43,5,FALSE),"")</f>
        <v/>
      </c>
      <c r="B40" s="117" t="str">
        <f>IFERROR(VLOOKUP(38,SuggestionCalculations!G2:K43,2,FALSE),"")</f>
        <v/>
      </c>
      <c r="C40" s="120" t="str">
        <f>IFERROR(HYPERLINK(VLOOKUP(38,SuggestionCalculations!G2:K43,4,FALSE),VLOOKUP(38,SuggestionCalculations!G2:K43,3,FALSE)),"")</f>
        <v/>
      </c>
    </row>
    <row r="41" spans="1:3" ht="75" customHeight="1" x14ac:dyDescent="0.25">
      <c r="A41" s="119" t="str">
        <f>IFERROR(VLOOKUP(39,SuggestionCalculations!G2:K43,5,FALSE),"")</f>
        <v/>
      </c>
      <c r="B41" s="117" t="str">
        <f>IFERROR(VLOOKUP(39,SuggestionCalculations!G2:K43,2,FALSE),"")</f>
        <v/>
      </c>
      <c r="C41" s="120" t="str">
        <f>IFERROR(HYPERLINK(VLOOKUP(39,SuggestionCalculations!G2:K43,4,FALSE),VLOOKUP(1,SuggestionCalculations!G2:K43,3,FALSE)),"")</f>
        <v/>
      </c>
    </row>
    <row r="42" spans="1:3" ht="75" customHeight="1" x14ac:dyDescent="0.25">
      <c r="A42" s="121" t="str">
        <f>IFERROR(VLOOKUP(40,SuggestionCalculations!G2:K43,5,FALSE),"")</f>
        <v/>
      </c>
      <c r="B42" s="117" t="str">
        <f>IFERROR(VLOOKUP(40,SuggestionCalculations!G2:K43,2,FALSE),"")</f>
        <v/>
      </c>
      <c r="C42" s="120" t="str">
        <f>IFERROR(HYPERLINK(VLOOKUP(40,SuggestionCalculations!G3:K43,4,FALSE),VLOOKUP(40,SuggestionCalculations!G3:K43,3,FALSE)),"")</f>
        <v/>
      </c>
    </row>
  </sheetData>
  <mergeCells count="1">
    <mergeCell ref="A1:C1"/>
  </mergeCells>
  <conditionalFormatting sqref="A3">
    <cfRule type="cellIs" dxfId="3" priority="2" operator="equal">
      <formula>"Info"</formula>
    </cfRule>
  </conditionalFormatting>
  <conditionalFormatting sqref="B3">
    <cfRule type="expression" dxfId="2" priority="3">
      <formula>$A$3="Info"</formula>
    </cfRule>
  </conditionalFormatting>
  <conditionalFormatting sqref="C1:C1048576">
    <cfRule type="cellIs" dxfId="1" priority="4" operator="equal">
      <formula>0</formula>
    </cfRule>
  </conditionalFormatting>
  <conditionalFormatting sqref="C3">
    <cfRule type="expression" dxfId="0" priority="1">
      <formula>$A$3="Info"</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showGridLines="0" zoomScale="70" zoomScaleNormal="70" workbookViewId="0">
      <pane xSplit="2" ySplit="1" topLeftCell="C14" activePane="bottomRight" state="frozen"/>
      <selection pane="topRight" activeCell="C1" sqref="C1"/>
      <selection pane="bottomLeft" activeCell="A2" sqref="A2"/>
      <selection pane="bottomRight" activeCell="H20" sqref="H20"/>
    </sheetView>
  </sheetViews>
  <sheetFormatPr defaultRowHeight="15" x14ac:dyDescent="0.25"/>
  <cols>
    <col min="1" max="1" width="16.28515625" style="36" bestFit="1" customWidth="1"/>
    <col min="2" max="2" width="16.85546875" style="36" bestFit="1" customWidth="1"/>
    <col min="3" max="3" width="29.85546875" style="36" bestFit="1" customWidth="1"/>
    <col min="4" max="4" width="17.85546875" style="36" bestFit="1" customWidth="1"/>
    <col min="5" max="5" width="21.140625" style="44" customWidth="1"/>
    <col min="6" max="6" width="20.5703125" style="36" bestFit="1" customWidth="1"/>
    <col min="7" max="7" width="15" style="45" customWidth="1"/>
    <col min="8" max="8" width="96.7109375" style="36" customWidth="1"/>
    <col min="9" max="9" width="20.7109375" style="36" customWidth="1"/>
    <col min="10" max="10" width="43.5703125" style="36" customWidth="1"/>
    <col min="11" max="11" width="17.7109375" style="36" bestFit="1" customWidth="1"/>
    <col min="12" max="12" width="9.140625" style="36" customWidth="1"/>
    <col min="13" max="16384" width="9.140625" style="36"/>
  </cols>
  <sheetData>
    <row r="1" spans="1:11" x14ac:dyDescent="0.25">
      <c r="A1" s="32" t="s">
        <v>0</v>
      </c>
      <c r="B1" s="32" t="s">
        <v>20</v>
      </c>
      <c r="C1" s="32" t="s">
        <v>21</v>
      </c>
      <c r="D1" s="32" t="s">
        <v>22</v>
      </c>
      <c r="E1" s="33" t="s">
        <v>23</v>
      </c>
      <c r="F1" s="32" t="s">
        <v>24</v>
      </c>
      <c r="G1" s="34" t="s">
        <v>25</v>
      </c>
      <c r="H1" s="32" t="s">
        <v>26</v>
      </c>
      <c r="I1" s="32" t="s">
        <v>27</v>
      </c>
      <c r="J1" s="32" t="s">
        <v>28</v>
      </c>
      <c r="K1" s="35" t="s">
        <v>29</v>
      </c>
    </row>
    <row r="2" spans="1:11" ht="65.099999999999994" customHeight="1" x14ac:dyDescent="0.25">
      <c r="A2" s="37"/>
      <c r="B2" s="38"/>
      <c r="C2" s="27" t="s">
        <v>30</v>
      </c>
      <c r="D2" s="38"/>
      <c r="E2" s="38"/>
      <c r="F2" s="27" t="b">
        <f>IF(AnnualTotalIncome=0,TRUE,FALSE)</f>
        <v>1</v>
      </c>
      <c r="G2" s="39">
        <f>COUNTIF(F2,TRUE)</f>
        <v>1</v>
      </c>
      <c r="H2" s="27" t="s">
        <v>31</v>
      </c>
      <c r="I2" s="38"/>
      <c r="J2" s="38"/>
      <c r="K2" s="27" t="s">
        <v>32</v>
      </c>
    </row>
    <row r="3" spans="1:11" ht="65.099999999999994" customHeight="1" x14ac:dyDescent="0.25">
      <c r="A3" s="134" t="s">
        <v>33</v>
      </c>
      <c r="B3" s="38"/>
      <c r="C3" s="27" t="s">
        <v>34</v>
      </c>
      <c r="D3" s="37"/>
      <c r="E3" s="40"/>
      <c r="F3" s="27" t="b">
        <f>IF(AND(AnnualTotalIncome&gt;0,BalanceTotal&lt;0),TRUE,FALSE)</f>
        <v>0</v>
      </c>
      <c r="G3" s="39">
        <f>COUNTIF(F2:F3,TRUE)</f>
        <v>1</v>
      </c>
      <c r="H3" s="27" t="s">
        <v>35</v>
      </c>
      <c r="I3" s="41" t="s">
        <v>36</v>
      </c>
      <c r="J3" s="27" t="s">
        <v>37</v>
      </c>
      <c r="K3" s="27" t="s">
        <v>33</v>
      </c>
    </row>
    <row r="4" spans="1:11" ht="65.099999999999994" customHeight="1" x14ac:dyDescent="0.25">
      <c r="A4" s="134"/>
      <c r="B4" s="38"/>
      <c r="C4" s="27" t="s">
        <v>34</v>
      </c>
      <c r="D4" s="37"/>
      <c r="E4" s="40"/>
      <c r="F4" s="27" t="b">
        <f>IF(AND(AnnualTotalIncome&gt;0,BalanceTotal&lt;0),TRUE,FALSE)</f>
        <v>0</v>
      </c>
      <c r="G4" s="39">
        <f>COUNTIF(F2:F4,TRUE)</f>
        <v>1</v>
      </c>
      <c r="H4" s="27" t="s">
        <v>38</v>
      </c>
      <c r="I4" s="41" t="s">
        <v>39</v>
      </c>
      <c r="J4" s="27" t="s">
        <v>40</v>
      </c>
      <c r="K4" s="27" t="s">
        <v>33</v>
      </c>
    </row>
    <row r="5" spans="1:11" ht="65.099999999999994" customHeight="1" x14ac:dyDescent="0.25">
      <c r="A5" s="134"/>
      <c r="B5" s="38"/>
      <c r="C5" s="27" t="s">
        <v>34</v>
      </c>
      <c r="D5" s="37"/>
      <c r="E5" s="40"/>
      <c r="F5" s="27" t="b">
        <f>IF(AND(AnnualTotalIncome&gt;0,BalanceTotal&lt;0),TRUE,FALSE)</f>
        <v>0</v>
      </c>
      <c r="G5" s="39">
        <f>COUNTIF(F2:F5,TRUE)</f>
        <v>1</v>
      </c>
      <c r="H5" s="27" t="s">
        <v>41</v>
      </c>
      <c r="I5" s="41" t="s">
        <v>42</v>
      </c>
      <c r="J5" s="27" t="s">
        <v>43</v>
      </c>
      <c r="K5" s="27" t="s">
        <v>33</v>
      </c>
    </row>
    <row r="6" spans="1:11" ht="65.099999999999994" customHeight="1" x14ac:dyDescent="0.25">
      <c r="A6" s="134"/>
      <c r="B6" s="38"/>
      <c r="C6" s="27" t="s">
        <v>34</v>
      </c>
      <c r="D6" s="37"/>
      <c r="E6" s="40"/>
      <c r="F6" s="27" t="b">
        <f>IF(AND(AnnualTotalIncome&gt;0,BalanceTotal&lt;0),TRUE,FALSE)</f>
        <v>0</v>
      </c>
      <c r="G6" s="39">
        <f>COUNTIF(F2:F6,TRUE)</f>
        <v>1</v>
      </c>
      <c r="H6" s="27" t="s">
        <v>44</v>
      </c>
      <c r="I6" s="41" t="s">
        <v>45</v>
      </c>
      <c r="J6" s="27" t="s">
        <v>46</v>
      </c>
      <c r="K6" s="27" t="s">
        <v>33</v>
      </c>
    </row>
    <row r="7" spans="1:11" ht="65.099999999999994" customHeight="1" x14ac:dyDescent="0.25">
      <c r="A7" s="134"/>
      <c r="B7" s="38"/>
      <c r="C7" s="27" t="s">
        <v>47</v>
      </c>
      <c r="D7" s="37"/>
      <c r="E7" s="40"/>
      <c r="F7" s="27" t="b">
        <f>IF(AND(AnnualTotalIncome&gt;0,BalanceTotal&gt;0),TRUE,FALSE)</f>
        <v>0</v>
      </c>
      <c r="G7" s="39">
        <f>COUNTIF(F2:F7,TRUE)</f>
        <v>1</v>
      </c>
      <c r="H7" s="27" t="s">
        <v>48</v>
      </c>
      <c r="I7" s="41" t="s">
        <v>36</v>
      </c>
      <c r="J7" s="27" t="s">
        <v>37</v>
      </c>
      <c r="K7" s="27" t="s">
        <v>33</v>
      </c>
    </row>
    <row r="8" spans="1:11" ht="65.099999999999994" customHeight="1" x14ac:dyDescent="0.25">
      <c r="A8" s="134"/>
      <c r="B8" s="38"/>
      <c r="C8" s="27" t="s">
        <v>49</v>
      </c>
      <c r="D8" s="37"/>
      <c r="E8" s="40"/>
      <c r="F8" s="27" t="b">
        <f>IF(AND(AnnualTotalIncome&gt;0,BalanceTotal=0),TRUE,FALSE)</f>
        <v>0</v>
      </c>
      <c r="G8" s="39">
        <f>COUNTIF(F2:F8,TRUE)</f>
        <v>1</v>
      </c>
      <c r="H8" s="27" t="s">
        <v>50</v>
      </c>
      <c r="I8" s="42"/>
      <c r="J8" s="38"/>
      <c r="K8" s="27" t="s">
        <v>33</v>
      </c>
    </row>
    <row r="9" spans="1:11" ht="65.099999999999994" customHeight="1" x14ac:dyDescent="0.25">
      <c r="A9" s="134" t="s">
        <v>51</v>
      </c>
      <c r="B9" s="27" t="s">
        <v>52</v>
      </c>
      <c r="C9" s="27" t="s">
        <v>53</v>
      </c>
      <c r="D9" s="39">
        <f>VLOOKUP(B9,tblSavings[],2,FALSE)</f>
        <v>0</v>
      </c>
      <c r="E9" s="43">
        <f>IF(AnnualTotalIncome &gt; 0,D9/AnnualTotalIncome*100, 0)</f>
        <v>0</v>
      </c>
      <c r="F9" s="27" t="b">
        <f>IF(AND(AnnualTotalIncome&gt;0,E9&lt;=1),TRUE,FALSE)</f>
        <v>0</v>
      </c>
      <c r="G9" s="39">
        <f>COUNTIF(F2:F9,TRUE)</f>
        <v>1</v>
      </c>
      <c r="H9" s="27" t="s">
        <v>54</v>
      </c>
      <c r="I9" s="41" t="s">
        <v>55</v>
      </c>
      <c r="J9" s="27" t="s">
        <v>56</v>
      </c>
      <c r="K9" s="27" t="s">
        <v>51</v>
      </c>
    </row>
    <row r="10" spans="1:11" ht="65.099999999999994" customHeight="1" x14ac:dyDescent="0.25">
      <c r="A10" s="134"/>
      <c r="B10" s="27" t="s">
        <v>57</v>
      </c>
      <c r="C10" s="27" t="s">
        <v>58</v>
      </c>
      <c r="D10" s="39">
        <f>VLOOKUP(B10,tblSavings[],2,FALSE)</f>
        <v>0</v>
      </c>
      <c r="E10" s="43">
        <f t="shared" ref="E10:E15" si="0">IF(AnnualTotalIncome &gt; 0,D10/AnnualTotalIncome*100, 0)</f>
        <v>0</v>
      </c>
      <c r="F10" s="27" t="b">
        <f>IF(AND(AnnualTotalIncome&gt;0,OR(NOT(HasPersonalization),IsWorkPartTime,IsWorkFullTime,IsWorkSelfEmployed,IsWorkStudent,IsWorkOther)),TRUE,FALSE)</f>
        <v>0</v>
      </c>
      <c r="G10" s="39">
        <f>COUNTIF(F2:F10,TRUE)</f>
        <v>1</v>
      </c>
      <c r="H10" s="27" t="s">
        <v>59</v>
      </c>
      <c r="I10" s="27" t="s">
        <v>60</v>
      </c>
      <c r="J10" s="27" t="s">
        <v>61</v>
      </c>
      <c r="K10" s="27" t="s">
        <v>51</v>
      </c>
    </row>
    <row r="11" spans="1:11" ht="65.099999999999994" customHeight="1" x14ac:dyDescent="0.25">
      <c r="A11" s="134"/>
      <c r="B11" s="27" t="s">
        <v>62</v>
      </c>
      <c r="C11" s="27" t="s">
        <v>63</v>
      </c>
      <c r="D11" s="39">
        <f>VLOOKUP(B11,tblSavings[],2,FALSE)</f>
        <v>0</v>
      </c>
      <c r="E11" s="43">
        <f t="shared" si="0"/>
        <v>0</v>
      </c>
      <c r="F11" s="27" t="b">
        <f>IF(AND(AnnualTotalIncome&gt;0,OR(IsLifeSingleKids, IsLifeCoupleKids )),TRUE,FALSE)</f>
        <v>0</v>
      </c>
      <c r="G11" s="39">
        <f>COUNTIF(F2:F11,TRUE)</f>
        <v>1</v>
      </c>
      <c r="H11" s="27" t="s">
        <v>64</v>
      </c>
      <c r="I11" s="41" t="s">
        <v>65</v>
      </c>
      <c r="J11" s="27" t="s">
        <v>66</v>
      </c>
      <c r="K11" s="27" t="s">
        <v>51</v>
      </c>
    </row>
    <row r="12" spans="1:11" ht="65.099999999999994" customHeight="1" x14ac:dyDescent="0.25">
      <c r="A12" s="134"/>
      <c r="B12" s="27" t="s">
        <v>62</v>
      </c>
      <c r="C12" s="27" t="s">
        <v>63</v>
      </c>
      <c r="D12" s="39">
        <f>VLOOKUP(B12,tblSavings[],2,FALSE)</f>
        <v>0</v>
      </c>
      <c r="E12" s="43">
        <f t="shared" si="0"/>
        <v>0</v>
      </c>
      <c r="F12" s="27" t="b">
        <f>IF(AND(AnnualTotalIncome&gt;0,OR(IsLifeSingleKids, IsLifeCoupleKids)),TRUE,FALSE)</f>
        <v>0</v>
      </c>
      <c r="G12" s="39">
        <f>COUNTIF(F2:F12,TRUE)</f>
        <v>1</v>
      </c>
      <c r="H12" s="27" t="s">
        <v>67</v>
      </c>
      <c r="I12" s="41" t="s">
        <v>68</v>
      </c>
      <c r="J12" s="27" t="s">
        <v>69</v>
      </c>
      <c r="K12" s="27" t="s">
        <v>51</v>
      </c>
    </row>
    <row r="13" spans="1:11" ht="65.099999999999994" customHeight="1" x14ac:dyDescent="0.25">
      <c r="A13" s="134"/>
      <c r="B13" s="27" t="s">
        <v>70</v>
      </c>
      <c r="C13" s="27" t="s">
        <v>71</v>
      </c>
      <c r="D13" s="39">
        <f>VLOOKUP(B13,tblSavings[],2,FALSE)</f>
        <v>0</v>
      </c>
      <c r="E13" s="43">
        <f t="shared" si="0"/>
        <v>0</v>
      </c>
      <c r="F13" s="27" t="b">
        <f>IF(AND(AnnualTotalIncome&gt;0,E13&gt;0),TRUE,FALSE)</f>
        <v>0</v>
      </c>
      <c r="G13" s="39">
        <f>COUNTIF(F2:F13,TRUE)</f>
        <v>1</v>
      </c>
      <c r="H13" s="27" t="s">
        <v>72</v>
      </c>
      <c r="I13" s="27" t="s">
        <v>73</v>
      </c>
      <c r="J13" s="27" t="s">
        <v>74</v>
      </c>
      <c r="K13" s="27" t="s">
        <v>51</v>
      </c>
    </row>
    <row r="14" spans="1:11" ht="75" customHeight="1" x14ac:dyDescent="0.25">
      <c r="A14" s="134"/>
      <c r="B14" s="27" t="s">
        <v>70</v>
      </c>
      <c r="C14" s="27" t="s">
        <v>71</v>
      </c>
      <c r="D14" s="39">
        <f>VLOOKUP(B14,tblSavings[],2,FALSE)</f>
        <v>0</v>
      </c>
      <c r="E14" s="43">
        <f t="shared" si="0"/>
        <v>0</v>
      </c>
      <c r="F14" s="27" t="b">
        <f>IF(AND(AnnualTotalIncome&gt;0,E14&gt;0),TRUE,FALSE)</f>
        <v>0</v>
      </c>
      <c r="G14" s="39">
        <f>COUNTIF(F2:F14,TRUE)</f>
        <v>1</v>
      </c>
      <c r="H14" s="27" t="s">
        <v>75</v>
      </c>
      <c r="I14" s="27" t="s">
        <v>76</v>
      </c>
      <c r="J14" s="27" t="s">
        <v>77</v>
      </c>
      <c r="K14" s="27" t="s">
        <v>51</v>
      </c>
    </row>
    <row r="15" spans="1:11" ht="75" customHeight="1" x14ac:dyDescent="0.25">
      <c r="A15" s="134"/>
      <c r="B15" s="27" t="s">
        <v>78</v>
      </c>
      <c r="C15" s="27" t="s">
        <v>79</v>
      </c>
      <c r="D15" s="39">
        <f>VLOOKUP(B15,tblSavings[],2,FALSE)</f>
        <v>0</v>
      </c>
      <c r="E15" s="43">
        <f t="shared" si="0"/>
        <v>0</v>
      </c>
      <c r="F15" s="27" t="b">
        <f>IF(AND(AnnualTotalIncome&gt;0,OR(NOT(HasPersonalization), IsHomeOwner, IsHomeOther),E15&gt;0),TRUE,FALSE)</f>
        <v>0</v>
      </c>
      <c r="G15" s="39">
        <f>COUNTIF(F2:F15,TRUE)</f>
        <v>1</v>
      </c>
      <c r="H15" s="27" t="s">
        <v>80</v>
      </c>
      <c r="I15" s="41" t="s">
        <v>81</v>
      </c>
      <c r="J15" s="27" t="s">
        <v>82</v>
      </c>
      <c r="K15" s="27" t="s">
        <v>51</v>
      </c>
    </row>
    <row r="16" spans="1:11" ht="75" customHeight="1" x14ac:dyDescent="0.25">
      <c r="A16" s="134"/>
      <c r="B16" s="27" t="s">
        <v>83</v>
      </c>
      <c r="C16" s="27" t="s">
        <v>84</v>
      </c>
      <c r="D16" s="39">
        <f>VLOOKUP(B16,tblSavings[],2,FALSE)</f>
        <v>0</v>
      </c>
      <c r="E16" s="43">
        <f t="shared" ref="E16:E39" si="1">IF(AnnualTotalIncome &gt; 0,D16/AnnualTotalIncome*100, 0)</f>
        <v>0</v>
      </c>
      <c r="F16" s="27" t="b">
        <f>IF(AND(AnnualTotalIncome&gt;0,E16&gt;0),TRUE,FALSE)</f>
        <v>0</v>
      </c>
      <c r="G16" s="39">
        <f>COUNTIF(F2:F16,TRUE)</f>
        <v>1</v>
      </c>
      <c r="H16" s="27" t="s">
        <v>85</v>
      </c>
      <c r="I16" s="27" t="s">
        <v>86</v>
      </c>
      <c r="J16" s="27" t="s">
        <v>87</v>
      </c>
      <c r="K16" s="27" t="s">
        <v>51</v>
      </c>
    </row>
    <row r="17" spans="1:11" ht="75" customHeight="1" x14ac:dyDescent="0.25">
      <c r="A17" s="134" t="s">
        <v>88</v>
      </c>
      <c r="B17" s="27" t="s">
        <v>89</v>
      </c>
      <c r="C17" s="27" t="s">
        <v>90</v>
      </c>
      <c r="D17" s="39">
        <f>VLOOKUP(B17,tblDebt[],2,FALSE)</f>
        <v>0</v>
      </c>
      <c r="E17" s="43">
        <f t="shared" si="1"/>
        <v>0</v>
      </c>
      <c r="F17" s="27" t="b">
        <f>IF(AND(AnnualTotalIncome&gt;0,E17&gt;0),TRUE,FALSE)</f>
        <v>0</v>
      </c>
      <c r="G17" s="39">
        <f>COUNTIF(F2:F17,TRUE)</f>
        <v>1</v>
      </c>
      <c r="H17" s="27" t="s">
        <v>91</v>
      </c>
      <c r="I17" s="27" t="s">
        <v>92</v>
      </c>
      <c r="J17" s="27" t="s">
        <v>93</v>
      </c>
      <c r="K17" s="27" t="s">
        <v>88</v>
      </c>
    </row>
    <row r="18" spans="1:11" ht="75" customHeight="1" x14ac:dyDescent="0.25">
      <c r="A18" s="134"/>
      <c r="B18" s="27" t="s">
        <v>94</v>
      </c>
      <c r="C18" s="27" t="s">
        <v>95</v>
      </c>
      <c r="D18" s="39">
        <f>VLOOKUP(B18,tblDebt[],2,FALSE)</f>
        <v>0</v>
      </c>
      <c r="E18" s="43">
        <f t="shared" si="1"/>
        <v>0</v>
      </c>
      <c r="F18" s="27" t="b">
        <f>IF(AND(AnnualTotalIncome&gt;0,E18&gt;0),TRUE,FALSE)</f>
        <v>0</v>
      </c>
      <c r="G18" s="39">
        <f>COUNTIF(F2:F18,TRUE)</f>
        <v>1</v>
      </c>
      <c r="H18" s="27" t="s">
        <v>96</v>
      </c>
      <c r="I18" s="27" t="s">
        <v>97</v>
      </c>
      <c r="J18" s="27" t="s">
        <v>98</v>
      </c>
      <c r="K18" s="27" t="s">
        <v>88</v>
      </c>
    </row>
    <row r="19" spans="1:11" ht="75" customHeight="1" x14ac:dyDescent="0.25">
      <c r="A19" s="134"/>
      <c r="B19" s="27" t="s">
        <v>99</v>
      </c>
      <c r="C19" s="27" t="s">
        <v>100</v>
      </c>
      <c r="D19" s="39">
        <f>VLOOKUP(B19,tblDebt[],2,FALSE)</f>
        <v>0</v>
      </c>
      <c r="E19" s="43">
        <f t="shared" si="1"/>
        <v>0</v>
      </c>
      <c r="F19" s="27" t="b">
        <f>IF(AND(AnnualTotalIncome&gt;0,E19&gt;0),TRUE,FALSE)</f>
        <v>0</v>
      </c>
      <c r="G19" s="39">
        <f>COUNTIF(F2:F19,TRUE)</f>
        <v>1</v>
      </c>
      <c r="H19" s="27" t="s">
        <v>101</v>
      </c>
      <c r="I19" s="27" t="s">
        <v>102</v>
      </c>
      <c r="J19" s="27" t="s">
        <v>103</v>
      </c>
      <c r="K19" s="27" t="s">
        <v>88</v>
      </c>
    </row>
    <row r="20" spans="1:11" ht="75" customHeight="1" x14ac:dyDescent="0.25">
      <c r="A20" s="134"/>
      <c r="B20" s="27" t="s">
        <v>104</v>
      </c>
      <c r="C20" s="27" t="s">
        <v>105</v>
      </c>
      <c r="D20" s="39">
        <f>VLOOKUP(B20,tblDebt[],2,FALSE)</f>
        <v>0</v>
      </c>
      <c r="E20" s="43">
        <f t="shared" si="1"/>
        <v>0</v>
      </c>
      <c r="F20" s="27" t="b">
        <f>IF(AND(AnnualTotalIncome&gt;0,OR(NOT(HasPersonalization), IsWorkPartTime, IsWorkFullTime, IsWorkSelfEmployed, IsWorkStudent, IsWorkOther),E20&gt;0),TRUE,FALSE)</f>
        <v>0</v>
      </c>
      <c r="G20" s="39">
        <f>COUNTIF(F2:F20,TRUE)</f>
        <v>1</v>
      </c>
      <c r="H20" s="27" t="s">
        <v>106</v>
      </c>
      <c r="I20" s="27" t="s">
        <v>107</v>
      </c>
      <c r="J20" s="27" t="s">
        <v>108</v>
      </c>
      <c r="K20" s="27" t="s">
        <v>88</v>
      </c>
    </row>
    <row r="21" spans="1:11" ht="75" customHeight="1" x14ac:dyDescent="0.25">
      <c r="A21" s="134" t="s">
        <v>109</v>
      </c>
      <c r="B21" s="27" t="s">
        <v>110</v>
      </c>
      <c r="C21" s="27" t="s">
        <v>111</v>
      </c>
      <c r="D21" s="39">
        <f>VLOOKUP(B21,tblHousing[],2,FALSE)</f>
        <v>0</v>
      </c>
      <c r="E21" s="43">
        <f t="shared" si="1"/>
        <v>0</v>
      </c>
      <c r="F21" s="27" t="b">
        <f>IF(AND(AnnualTotalIncome&gt;0,OR(NOT(HasPersonalization), IsHomeOwner, IsHomeOther, IsGoalSaveMoney, IsGoalReduceDebt),E21&gt;0),TRUE,FALSE)</f>
        <v>0</v>
      </c>
      <c r="G21" s="39">
        <f>COUNTIF(F2:F21,TRUE)</f>
        <v>1</v>
      </c>
      <c r="H21" s="27" t="s">
        <v>112</v>
      </c>
      <c r="I21" s="27" t="s">
        <v>113</v>
      </c>
      <c r="J21" s="27" t="s">
        <v>114</v>
      </c>
      <c r="K21" s="27" t="s">
        <v>109</v>
      </c>
    </row>
    <row r="22" spans="1:11" ht="75" customHeight="1" x14ac:dyDescent="0.25">
      <c r="A22" s="134"/>
      <c r="B22" s="27" t="s">
        <v>110</v>
      </c>
      <c r="C22" s="27" t="s">
        <v>115</v>
      </c>
      <c r="D22" s="39">
        <f>VLOOKUP(B22,tblHousing[],2,FALSE)</f>
        <v>0</v>
      </c>
      <c r="E22" s="43">
        <f t="shared" si="1"/>
        <v>0</v>
      </c>
      <c r="F22" s="27" t="b">
        <f>IF(AND(AnnualTotalIncome&gt;0,OR(NOT(HasPersonalization), IsHomeOwner, IsHomeOther),E22&gt;0),TRUE,FALSE)</f>
        <v>0</v>
      </c>
      <c r="G22" s="39">
        <f>COUNTIF(F2:F22,TRUE)</f>
        <v>1</v>
      </c>
      <c r="H22" s="27" t="s">
        <v>116</v>
      </c>
      <c r="I22" s="27" t="s">
        <v>117</v>
      </c>
      <c r="J22" s="27" t="s">
        <v>118</v>
      </c>
      <c r="K22" s="27" t="s">
        <v>109</v>
      </c>
    </row>
    <row r="23" spans="1:11" ht="75" customHeight="1" x14ac:dyDescent="0.25">
      <c r="A23" s="134"/>
      <c r="B23" s="27" t="s">
        <v>119</v>
      </c>
      <c r="C23" s="27" t="s">
        <v>120</v>
      </c>
      <c r="D23" s="39">
        <f>VLOOKUP(B23,tblHousing[],2,FALSE)</f>
        <v>0</v>
      </c>
      <c r="E23" s="43">
        <f t="shared" si="1"/>
        <v>0</v>
      </c>
      <c r="F23" s="27" t="b">
        <f>IF(AND(AnnualTotalIncome&gt;0,OR(NOT(HasPersonalization), IsHomeOwner, IsHomeOther),E23&gt;0),TRUE,FALSE)</f>
        <v>0</v>
      </c>
      <c r="G23" s="39">
        <f>COUNTIF(F2:F23,TRUE)</f>
        <v>1</v>
      </c>
      <c r="H23" s="27" t="s">
        <v>121</v>
      </c>
      <c r="I23" s="27" t="s">
        <v>122</v>
      </c>
      <c r="J23" s="27" t="s">
        <v>123</v>
      </c>
      <c r="K23" s="27" t="s">
        <v>109</v>
      </c>
    </row>
    <row r="24" spans="1:11" ht="75" customHeight="1" x14ac:dyDescent="0.25">
      <c r="A24" s="134"/>
      <c r="B24" s="27" t="s">
        <v>124</v>
      </c>
      <c r="C24" s="27" t="s">
        <v>125</v>
      </c>
      <c r="D24" s="39">
        <f>VLOOKUP(B24,tblHousing[],2,FALSE)</f>
        <v>0</v>
      </c>
      <c r="E24" s="43">
        <f t="shared" si="1"/>
        <v>0</v>
      </c>
      <c r="F24" s="27" t="b">
        <f>IF(AND(AnnualTotalIncome&gt;0,OR(NOT(HasPersonalization), IsHomeRenting, IsHomeOther),E24&gt;0),TRUE,FALSE)</f>
        <v>0</v>
      </c>
      <c r="G24" s="39">
        <f>COUNTIF(F2:F24,TRUE)</f>
        <v>1</v>
      </c>
      <c r="H24" s="27" t="s">
        <v>126</v>
      </c>
      <c r="I24" s="27" t="s">
        <v>127</v>
      </c>
      <c r="J24" s="27" t="s">
        <v>128</v>
      </c>
      <c r="K24" s="27" t="s">
        <v>109</v>
      </c>
    </row>
    <row r="25" spans="1:11" ht="75" customHeight="1" x14ac:dyDescent="0.25">
      <c r="A25" s="134"/>
      <c r="B25" s="27" t="s">
        <v>129</v>
      </c>
      <c r="C25" s="27" t="s">
        <v>130</v>
      </c>
      <c r="D25" s="39">
        <f>VLOOKUP(B25,tblHousing[],2,FALSE)</f>
        <v>0</v>
      </c>
      <c r="E25" s="43">
        <f t="shared" si="1"/>
        <v>0</v>
      </c>
      <c r="F25" s="27" t="b">
        <f>IF(AND(AnnualTotalIncome&gt;0,F24=FALSE,OR(NOT(HasPersonalization), IsHomeOwner, IsHomeOther),E25&gt;0),TRUE,FALSE)</f>
        <v>0</v>
      </c>
      <c r="G25" s="39">
        <f>COUNTIF(F2:F25,TRUE)</f>
        <v>1</v>
      </c>
      <c r="H25" s="27" t="s">
        <v>126</v>
      </c>
      <c r="I25" s="27" t="s">
        <v>127</v>
      </c>
      <c r="J25" s="27" t="s">
        <v>128</v>
      </c>
      <c r="K25" s="27" t="s">
        <v>109</v>
      </c>
    </row>
    <row r="26" spans="1:11" ht="75" customHeight="1" x14ac:dyDescent="0.25">
      <c r="A26" s="134"/>
      <c r="B26" s="27" t="s">
        <v>131</v>
      </c>
      <c r="C26" s="27" t="s">
        <v>132</v>
      </c>
      <c r="D26" s="39">
        <f>VLOOKUP(B26,tblHousing[],2,FALSE)</f>
        <v>0</v>
      </c>
      <c r="E26" s="43">
        <f t="shared" si="1"/>
        <v>0</v>
      </c>
      <c r="F26" s="27" t="b">
        <f t="shared" ref="F26:F33" si="2">IF(AND(AnnualTotalIncome&gt;0,OR(IsGoalCutOnExpenses, IsGoalReduceDebt, IsGoalCreateBudget),E26&gt;0),TRUE,FALSE)</f>
        <v>0</v>
      </c>
      <c r="G26" s="39">
        <f>COUNTIF(F2:F26,TRUE)</f>
        <v>1</v>
      </c>
      <c r="H26" s="27" t="s">
        <v>133</v>
      </c>
      <c r="I26" s="38"/>
      <c r="J26" s="38"/>
      <c r="K26" s="27" t="s">
        <v>109</v>
      </c>
    </row>
    <row r="27" spans="1:11" ht="75" customHeight="1" x14ac:dyDescent="0.25">
      <c r="A27" s="134"/>
      <c r="B27" s="27" t="s">
        <v>134</v>
      </c>
      <c r="C27" s="27" t="s">
        <v>135</v>
      </c>
      <c r="D27" s="39">
        <f>VLOOKUP(B27,tblHousing[],2,FALSE)</f>
        <v>0</v>
      </c>
      <c r="E27" s="43">
        <f t="shared" si="1"/>
        <v>0</v>
      </c>
      <c r="F27" s="27" t="b">
        <f t="shared" si="2"/>
        <v>0</v>
      </c>
      <c r="G27" s="39">
        <f>COUNTIF(F2:F27,TRUE)</f>
        <v>1</v>
      </c>
      <c r="H27" s="27" t="s">
        <v>136</v>
      </c>
      <c r="I27" s="38"/>
      <c r="J27" s="38"/>
      <c r="K27" s="27" t="s">
        <v>109</v>
      </c>
    </row>
    <row r="28" spans="1:11" ht="75" customHeight="1" x14ac:dyDescent="0.25">
      <c r="A28" s="134"/>
      <c r="B28" s="27" t="s">
        <v>137</v>
      </c>
      <c r="C28" s="27" t="s">
        <v>138</v>
      </c>
      <c r="D28" s="39">
        <f>VLOOKUP(B28,tblHousing[],2,FALSE)</f>
        <v>0</v>
      </c>
      <c r="E28" s="43">
        <f t="shared" si="1"/>
        <v>0</v>
      </c>
      <c r="F28" s="27" t="b">
        <f t="shared" si="2"/>
        <v>0</v>
      </c>
      <c r="G28" s="39">
        <f>COUNTIF(F2:F28,TRUE)</f>
        <v>1</v>
      </c>
      <c r="H28" s="27" t="s">
        <v>139</v>
      </c>
      <c r="I28" s="38"/>
      <c r="J28" s="38"/>
      <c r="K28" s="27" t="s">
        <v>109</v>
      </c>
    </row>
    <row r="29" spans="1:11" ht="75" customHeight="1" x14ac:dyDescent="0.25">
      <c r="A29" s="134" t="s">
        <v>140</v>
      </c>
      <c r="B29" s="27" t="s">
        <v>141</v>
      </c>
      <c r="C29" s="27" t="s">
        <v>142</v>
      </c>
      <c r="D29" s="39">
        <f>VLOOKUP(B29,tblCommunications[],2,FALSE)</f>
        <v>0</v>
      </c>
      <c r="E29" s="43">
        <f t="shared" si="1"/>
        <v>0</v>
      </c>
      <c r="F29" s="27" t="b">
        <f t="shared" si="2"/>
        <v>0</v>
      </c>
      <c r="G29" s="39">
        <f>COUNTIF(F2:F29,TRUE)</f>
        <v>1</v>
      </c>
      <c r="H29" s="27" t="s">
        <v>143</v>
      </c>
      <c r="I29" s="38"/>
      <c r="J29" s="38"/>
      <c r="K29" s="27" t="s">
        <v>140</v>
      </c>
    </row>
    <row r="30" spans="1:11" ht="75" customHeight="1" x14ac:dyDescent="0.25">
      <c r="A30" s="134"/>
      <c r="B30" s="27" t="s">
        <v>144</v>
      </c>
      <c r="C30" s="27" t="s">
        <v>145</v>
      </c>
      <c r="D30" s="39">
        <f>VLOOKUP(B30,tblCommunications[],2,FALSE)</f>
        <v>0</v>
      </c>
      <c r="E30" s="43">
        <f t="shared" si="1"/>
        <v>0</v>
      </c>
      <c r="F30" s="27" t="b">
        <f t="shared" si="2"/>
        <v>0</v>
      </c>
      <c r="G30" s="39">
        <f>COUNTIF(F2:F30,TRUE)</f>
        <v>1</v>
      </c>
      <c r="H30" s="27" t="s">
        <v>146</v>
      </c>
      <c r="I30" s="38"/>
      <c r="J30" s="38"/>
      <c r="K30" s="27" t="s">
        <v>140</v>
      </c>
    </row>
    <row r="31" spans="1:11" ht="75" customHeight="1" x14ac:dyDescent="0.25">
      <c r="A31" s="134"/>
      <c r="B31" s="27" t="s">
        <v>147</v>
      </c>
      <c r="C31" s="27" t="s">
        <v>148</v>
      </c>
      <c r="D31" s="39">
        <f>VLOOKUP(B31,tblCommunications[],2,FALSE)</f>
        <v>0</v>
      </c>
      <c r="E31" s="43">
        <f t="shared" si="1"/>
        <v>0</v>
      </c>
      <c r="F31" s="27" t="b">
        <f t="shared" si="2"/>
        <v>0</v>
      </c>
      <c r="G31" s="39">
        <f>COUNTIF(F2:F31,TRUE)</f>
        <v>1</v>
      </c>
      <c r="H31" s="27" t="s">
        <v>149</v>
      </c>
      <c r="I31" s="38"/>
      <c r="J31" s="38"/>
      <c r="K31" s="27" t="s">
        <v>140</v>
      </c>
    </row>
    <row r="32" spans="1:11" ht="75" customHeight="1" x14ac:dyDescent="0.25">
      <c r="A32" s="134" t="s">
        <v>150</v>
      </c>
      <c r="B32" s="27" t="s">
        <v>151</v>
      </c>
      <c r="C32" s="27" t="s">
        <v>152</v>
      </c>
      <c r="D32" s="39">
        <f>VLOOKUP(B32,tblFood[],2,FALSE)</f>
        <v>0</v>
      </c>
      <c r="E32" s="43">
        <f t="shared" si="1"/>
        <v>0</v>
      </c>
      <c r="F32" s="27" t="b">
        <f t="shared" si="2"/>
        <v>0</v>
      </c>
      <c r="G32" s="39">
        <f>COUNTIF(F2:F32,TRUE)</f>
        <v>1</v>
      </c>
      <c r="H32" s="27" t="s">
        <v>153</v>
      </c>
      <c r="I32" s="38"/>
      <c r="J32" s="38"/>
      <c r="K32" s="27" t="s">
        <v>150</v>
      </c>
    </row>
    <row r="33" spans="1:11" ht="75" customHeight="1" x14ac:dyDescent="0.25">
      <c r="A33" s="134"/>
      <c r="B33" s="27" t="s">
        <v>154</v>
      </c>
      <c r="C33" s="27" t="s">
        <v>155</v>
      </c>
      <c r="D33" s="39">
        <f>VLOOKUP(B33,tblFood[],2,FALSE)</f>
        <v>0</v>
      </c>
      <c r="E33" s="43">
        <f t="shared" si="1"/>
        <v>0</v>
      </c>
      <c r="F33" s="27" t="b">
        <f t="shared" si="2"/>
        <v>0</v>
      </c>
      <c r="G33" s="39">
        <f>COUNTIF(F2:F33,TRUE)</f>
        <v>1</v>
      </c>
      <c r="H33" s="27" t="s">
        <v>156</v>
      </c>
      <c r="I33" s="38"/>
      <c r="J33" s="38"/>
      <c r="K33" s="27" t="s">
        <v>150</v>
      </c>
    </row>
    <row r="34" spans="1:11" ht="75" customHeight="1" x14ac:dyDescent="0.25">
      <c r="A34" s="134" t="s">
        <v>157</v>
      </c>
      <c r="B34" s="27" t="s">
        <v>158</v>
      </c>
      <c r="C34" s="27" t="s">
        <v>159</v>
      </c>
      <c r="D34" s="39">
        <f>VLOOKUP(B34,tblInsurance[],2,FALSE)</f>
        <v>0</v>
      </c>
      <c r="E34" s="43">
        <f t="shared" si="1"/>
        <v>0</v>
      </c>
      <c r="F34" s="27" t="b">
        <f>IF(AND(AnnualTotalIncome&gt;0,E34 &gt;= 5),TRUE, FALSE)</f>
        <v>0</v>
      </c>
      <c r="G34" s="39">
        <f>COUNTIF(F2:F34,TRUE)</f>
        <v>1</v>
      </c>
      <c r="H34" s="27" t="s">
        <v>160</v>
      </c>
      <c r="I34" s="27" t="s">
        <v>157</v>
      </c>
      <c r="J34" s="27" t="s">
        <v>161</v>
      </c>
      <c r="K34" s="27" t="s">
        <v>157</v>
      </c>
    </row>
    <row r="35" spans="1:11" ht="75" customHeight="1" x14ac:dyDescent="0.25">
      <c r="A35" s="134"/>
      <c r="B35" s="27" t="s">
        <v>162</v>
      </c>
      <c r="C35" s="27" t="s">
        <v>163</v>
      </c>
      <c r="D35" s="39">
        <f>VLOOKUP(B35,tblInsurance[],2,FALSE)</f>
        <v>0</v>
      </c>
      <c r="E35" s="43">
        <f>IF(AnnualTotalIncome &gt; 0,D35/AnnualTotalIncome*100, 0)</f>
        <v>0</v>
      </c>
      <c r="F35" s="27" t="b">
        <f>IF(AND(AnnualTotalIncome&gt;0,E35 &gt;= 5,F34=FALSE),TRUE, FALSE)</f>
        <v>0</v>
      </c>
      <c r="G35" s="39">
        <f>COUNTIF(F2:F35,TRUE)</f>
        <v>1</v>
      </c>
      <c r="H35" s="27" t="s">
        <v>160</v>
      </c>
      <c r="I35" s="27" t="s">
        <v>157</v>
      </c>
      <c r="J35" s="27" t="s">
        <v>161</v>
      </c>
      <c r="K35" s="27" t="s">
        <v>157</v>
      </c>
    </row>
    <row r="36" spans="1:11" ht="75" customHeight="1" x14ac:dyDescent="0.25">
      <c r="A36" s="134"/>
      <c r="B36" s="27" t="s">
        <v>164</v>
      </c>
      <c r="C36" s="27" t="s">
        <v>165</v>
      </c>
      <c r="D36" s="39">
        <f>VLOOKUP(B36,tblInsurance[],2,FALSE)</f>
        <v>0</v>
      </c>
      <c r="E36" s="43">
        <f t="shared" si="1"/>
        <v>0</v>
      </c>
      <c r="F36" s="27" t="b">
        <f>IF(AND(AnnualTotalIncome&gt;0,E36 &gt;= 5,F34=FALSE,F35=FALSE),TRUE, FALSE)</f>
        <v>0</v>
      </c>
      <c r="G36" s="39">
        <f>COUNTIF(F2:F36,TRUE)</f>
        <v>1</v>
      </c>
      <c r="H36" s="27" t="s">
        <v>160</v>
      </c>
      <c r="I36" s="27" t="s">
        <v>157</v>
      </c>
      <c r="J36" s="27" t="s">
        <v>161</v>
      </c>
      <c r="K36" s="27" t="s">
        <v>157</v>
      </c>
    </row>
    <row r="37" spans="1:11" ht="75" customHeight="1" x14ac:dyDescent="0.25">
      <c r="A37" s="134" t="s">
        <v>166</v>
      </c>
      <c r="B37" s="27" t="s">
        <v>167</v>
      </c>
      <c r="C37" s="27" t="s">
        <v>168</v>
      </c>
      <c r="D37" s="39">
        <f>VLOOKUP(B37,tblTransportation[],2,FALSE)</f>
        <v>0</v>
      </c>
      <c r="E37" s="43">
        <f t="shared" si="1"/>
        <v>0</v>
      </c>
      <c r="F37" s="27" t="b">
        <f>IF(AND(AnnualTotalIncome&gt;0,E37&gt;0),TRUE,FALSE)</f>
        <v>0</v>
      </c>
      <c r="G37" s="39">
        <f>COUNTIF(F2:F37,TRUE)</f>
        <v>1</v>
      </c>
      <c r="H37" s="27" t="s">
        <v>169</v>
      </c>
      <c r="I37" s="38"/>
      <c r="J37" s="38"/>
      <c r="K37" s="27" t="s">
        <v>170</v>
      </c>
    </row>
    <row r="38" spans="1:11" ht="75" customHeight="1" x14ac:dyDescent="0.25">
      <c r="A38" s="134"/>
      <c r="B38" s="27" t="s">
        <v>171</v>
      </c>
      <c r="C38" s="27" t="s">
        <v>172</v>
      </c>
      <c r="D38" s="39">
        <f>VLOOKUP(B38,tblTransportation[],2,FALSE)</f>
        <v>0</v>
      </c>
      <c r="E38" s="43">
        <f t="shared" si="1"/>
        <v>0</v>
      </c>
      <c r="F38" s="27" t="b">
        <f>IF(AND(AnnualTotalIncome&gt;0,E38&gt;0),TRUE,FALSE)</f>
        <v>0</v>
      </c>
      <c r="G38" s="39">
        <f>COUNTIF(F2:F38,TRUE)</f>
        <v>1</v>
      </c>
      <c r="H38" s="27" t="s">
        <v>173</v>
      </c>
      <c r="I38" s="27" t="s">
        <v>174</v>
      </c>
      <c r="J38" s="27" t="s">
        <v>175</v>
      </c>
      <c r="K38" s="27" t="s">
        <v>170</v>
      </c>
    </row>
    <row r="39" spans="1:11" ht="75" customHeight="1" x14ac:dyDescent="0.25">
      <c r="A39" s="37" t="s">
        <v>62</v>
      </c>
      <c r="B39" s="27" t="s">
        <v>176</v>
      </c>
      <c r="C39" s="27" t="s">
        <v>177</v>
      </c>
      <c r="D39" s="39">
        <f>VLOOKUP(B39,tblEducation[],2,FALSE)</f>
        <v>0</v>
      </c>
      <c r="E39" s="43">
        <f t="shared" si="1"/>
        <v>0</v>
      </c>
      <c r="F39" s="27" t="b">
        <f>IF(AND(AnnualTotalIncome&gt;0,E39&gt;0),TRUE,FALSE)</f>
        <v>0</v>
      </c>
      <c r="G39" s="39">
        <f>COUNTIF(F2:F39,TRUE)</f>
        <v>1</v>
      </c>
      <c r="H39" s="27" t="s">
        <v>178</v>
      </c>
      <c r="I39" s="27" t="s">
        <v>65</v>
      </c>
      <c r="J39" s="27" t="s">
        <v>66</v>
      </c>
      <c r="K39" s="27" t="s">
        <v>62</v>
      </c>
    </row>
    <row r="40" spans="1:11" ht="75" customHeight="1" x14ac:dyDescent="0.25">
      <c r="A40" s="37" t="s">
        <v>179</v>
      </c>
      <c r="B40" s="27" t="s">
        <v>180</v>
      </c>
      <c r="C40" s="27" t="s">
        <v>181</v>
      </c>
      <c r="D40" s="39">
        <f>VLOOKUP(B40,tblRecreation[],2,FALSE)</f>
        <v>0</v>
      </c>
      <c r="E40" s="43">
        <f>IF(AnnualTotalIncome &gt; 0,D40/AnnualTotalIncome*100, 0)</f>
        <v>0</v>
      </c>
      <c r="F40" s="27" t="b">
        <f>IF(AND(AnnualTotalIncome&gt;0,OR(NOT(HasPersonalization),IsGoalCutOnExpenses,IsGoalSaveMoney,IsGoalReduceDebt,IsGoalCreateBudget),E40&gt;0),TRUE,FALSE)</f>
        <v>0</v>
      </c>
      <c r="G40" s="39">
        <f>COUNTIF(F2:F40,TRUE)</f>
        <v>1</v>
      </c>
      <c r="H40" s="27" t="s">
        <v>182</v>
      </c>
      <c r="I40" s="38"/>
      <c r="J40" s="38"/>
      <c r="K40" s="27" t="s">
        <v>179</v>
      </c>
    </row>
    <row r="41" spans="1:11" ht="75" customHeight="1" x14ac:dyDescent="0.25">
      <c r="A41" s="37" t="s">
        <v>183</v>
      </c>
      <c r="B41" s="27" t="s">
        <v>184</v>
      </c>
      <c r="C41" s="27" t="s">
        <v>185</v>
      </c>
      <c r="D41" s="39">
        <f>VLOOKUP(B41,tblClothing[],2,FALSE)</f>
        <v>0</v>
      </c>
      <c r="E41" s="43">
        <f>IF(AnnualTotalIncome &gt; 0,D41/AnnualTotalIncome*100, 0)</f>
        <v>0</v>
      </c>
      <c r="F41" s="27" t="b">
        <f>IF(AND(AnnualTotalIncome&gt;0,OR(NOT(HasPersonalization),IsGoalCutOnExpenses,IsGoalReduceDebt,IsGoalCreateBudget),E41&gt;5),TRUE,FALSE)</f>
        <v>0</v>
      </c>
      <c r="G41" s="39">
        <f>COUNTIF(F2:F41,TRUE)</f>
        <v>1</v>
      </c>
      <c r="H41" s="27" t="s">
        <v>186</v>
      </c>
      <c r="I41" s="38"/>
      <c r="J41" s="38"/>
      <c r="K41" s="27" t="s">
        <v>183</v>
      </c>
    </row>
    <row r="42" spans="1:11" ht="75" customHeight="1" x14ac:dyDescent="0.25">
      <c r="A42" s="134" t="s">
        <v>187</v>
      </c>
      <c r="B42" s="27" t="s">
        <v>188</v>
      </c>
      <c r="C42" s="27" t="s">
        <v>189</v>
      </c>
      <c r="D42" s="39">
        <f>VLOOKUP(B42,tblFees[],2,FALSE)</f>
        <v>0</v>
      </c>
      <c r="E42" s="43">
        <f>IF(AnnualTotalIncome &gt; 0,D42/AnnualTotalIncome*100, 0)</f>
        <v>0</v>
      </c>
      <c r="F42" s="27" t="b">
        <f>IF(AND(AnnualTotalIncome&gt;0,VLOOKUP(B42,tblFees[],2,FALSE)/12 &gt; 15),TRUE, FALSE)</f>
        <v>0</v>
      </c>
      <c r="G42" s="39">
        <f>COUNTIF(F2:F42,TRUE)</f>
        <v>1</v>
      </c>
      <c r="H42" s="27" t="s">
        <v>190</v>
      </c>
      <c r="I42" s="27" t="s">
        <v>191</v>
      </c>
      <c r="J42" s="27" t="s">
        <v>192</v>
      </c>
      <c r="K42" s="27" t="s">
        <v>187</v>
      </c>
    </row>
    <row r="43" spans="1:11" ht="75" customHeight="1" x14ac:dyDescent="0.25">
      <c r="A43" s="134"/>
      <c r="B43" s="27" t="s">
        <v>193</v>
      </c>
      <c r="C43" s="27" t="s">
        <v>194</v>
      </c>
      <c r="D43" s="39">
        <f>VLOOKUP(B43,tblFees[],2,FALSE)</f>
        <v>0</v>
      </c>
      <c r="E43" s="43">
        <f>IF(AnnualTotalIncome &gt; 0,D43/AnnualTotalIncome*100, 0)</f>
        <v>0</v>
      </c>
      <c r="F43" s="27" t="b">
        <f>IF(AND(AnnualTotalIncome&gt;0,E43&gt;0),TRUE,FALSE)</f>
        <v>0</v>
      </c>
      <c r="G43" s="39">
        <f>COUNTIF(F2:F43,TRUE)</f>
        <v>1</v>
      </c>
      <c r="H43" s="27" t="s">
        <v>195</v>
      </c>
      <c r="I43" s="27" t="s">
        <v>196</v>
      </c>
      <c r="J43" s="27" t="s">
        <v>197</v>
      </c>
      <c r="K43" s="27" t="s">
        <v>187</v>
      </c>
    </row>
  </sheetData>
  <mergeCells count="9">
    <mergeCell ref="A34:A36"/>
    <mergeCell ref="A37:A38"/>
    <mergeCell ref="A42:A43"/>
    <mergeCell ref="A3:A8"/>
    <mergeCell ref="A9:A16"/>
    <mergeCell ref="A17:A20"/>
    <mergeCell ref="A21:A28"/>
    <mergeCell ref="A29:A31"/>
    <mergeCell ref="A32:A33"/>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
  <sheetViews>
    <sheetView workbookViewId="0">
      <selection activeCell="B20" sqref="B20"/>
    </sheetView>
  </sheetViews>
  <sheetFormatPr defaultRowHeight="15" x14ac:dyDescent="0.25"/>
  <cols>
    <col min="1" max="8" width="20.7109375" customWidth="1"/>
    <col min="9" max="9" width="26.28515625" customWidth="1"/>
  </cols>
  <sheetData>
    <row r="1" spans="1:9" x14ac:dyDescent="0.25">
      <c r="A1" s="24" t="s">
        <v>0</v>
      </c>
      <c r="B1" s="24" t="s">
        <v>1</v>
      </c>
      <c r="C1" s="24" t="s">
        <v>2</v>
      </c>
      <c r="D1" s="24" t="s">
        <v>3</v>
      </c>
      <c r="E1" s="24" t="s">
        <v>4</v>
      </c>
      <c r="F1" s="24" t="s">
        <v>5</v>
      </c>
      <c r="G1" s="24" t="s">
        <v>6</v>
      </c>
      <c r="H1" s="24" t="s">
        <v>7</v>
      </c>
      <c r="I1" s="24" t="s">
        <v>8</v>
      </c>
    </row>
    <row r="2" spans="1:9" x14ac:dyDescent="0.25">
      <c r="A2" s="25" t="str">
        <f>Budget!C10</f>
        <v>Income</v>
      </c>
      <c r="B2" s="26">
        <f>Budget!D10</f>
        <v>0</v>
      </c>
      <c r="C2" s="26" t="str">
        <f>IF(IncomeTotal &gt; 0, DOLLAR(B2, 2),"")</f>
        <v/>
      </c>
      <c r="D2" s="27"/>
      <c r="E2" s="26"/>
      <c r="F2" s="28"/>
      <c r="G2" s="27"/>
      <c r="H2" s="26"/>
      <c r="I2" s="27"/>
    </row>
    <row r="3" spans="1:9" x14ac:dyDescent="0.25">
      <c r="A3" s="25" t="str">
        <f>Budget!C36</f>
        <v>Savings</v>
      </c>
      <c r="B3" s="26">
        <f>IF(IncomeTotal&gt;0,Budget!D36,0)</f>
        <v>0</v>
      </c>
      <c r="C3" s="26" t="str">
        <f t="shared" ref="C3:C18" si="0">IF(AND(IncomeTotal &gt; 0,B3&lt;&gt;0), DOLLAR(B3, 2) &amp; " (" &amp; IF(B3/IncomeTotal &gt;= 0.01, ROUND((B3/IncomeTotal)  *100,0), "&lt; 1") &amp; "%)", "")</f>
        <v/>
      </c>
      <c r="D3" s="27" t="str">
        <f t="shared" ref="D3:D18" si="1">IF(IncomeTotal &gt; 0, A3 &amp; " " &amp; C3, "")</f>
        <v/>
      </c>
      <c r="E3" s="26">
        <f>IF(HasPersonalization="True",B3,0)</f>
        <v>0</v>
      </c>
      <c r="F3" s="28">
        <f>Budget!A36</f>
        <v>3.7804686271426302E-2</v>
      </c>
      <c r="G3" s="26">
        <f>F3*B2</f>
        <v>0</v>
      </c>
      <c r="H3" s="26" t="str">
        <f>IF(HasPersonalization="True",C3,"")</f>
        <v/>
      </c>
      <c r="I3" s="27" t="str">
        <f>IF(AND(G3&lt;&gt;0,F3&lt;&gt;0),DOLLAR(G3, 2) &amp; " (" &amp; IF(F3&gt;=0.01, (ROUND(F3*100,0)), "&lt; 1") &amp; "%)", "")</f>
        <v/>
      </c>
    </row>
    <row r="4" spans="1:9" x14ac:dyDescent="0.25">
      <c r="A4" s="25" t="str">
        <f>Budget!C58</f>
        <v>Debt repayment</v>
      </c>
      <c r="B4" s="26">
        <f>IF(IncomeTotal&gt;0,Budget!D58,0)</f>
        <v>0</v>
      </c>
      <c r="C4" s="26" t="str">
        <f t="shared" si="0"/>
        <v/>
      </c>
      <c r="D4" s="27" t="str">
        <f t="shared" si="1"/>
        <v/>
      </c>
      <c r="E4" s="26">
        <f>IF(HasPersonalization="True",B4,0)</f>
        <v>0</v>
      </c>
      <c r="F4" s="28"/>
      <c r="G4" s="26"/>
      <c r="H4" s="26"/>
      <c r="I4" s="27"/>
    </row>
    <row r="5" spans="1:9" x14ac:dyDescent="0.25">
      <c r="A5" s="25" t="str">
        <f>Budget!C75</f>
        <v>Housing</v>
      </c>
      <c r="B5" s="26">
        <f>IF(IncomeTotal&gt;0,Budget!D75,0)</f>
        <v>0</v>
      </c>
      <c r="C5" s="26" t="str">
        <f t="shared" si="0"/>
        <v/>
      </c>
      <c r="D5" s="27" t="str">
        <f t="shared" si="1"/>
        <v/>
      </c>
      <c r="E5" s="26">
        <f t="shared" ref="E5:E18" si="2">IF(HasPersonalization="True",B5,0)</f>
        <v>0</v>
      </c>
      <c r="F5" s="28">
        <f>Budget!A75</f>
        <v>0.30872546952371532</v>
      </c>
      <c r="G5" s="26">
        <f>IF(B5&lt;&gt;0,F5*B2,0)</f>
        <v>0</v>
      </c>
      <c r="H5" s="26" t="str">
        <f t="shared" ref="H5:H18" si="3">IF(HasPersonalization="True",C5,"")</f>
        <v/>
      </c>
      <c r="I5" s="27" t="str">
        <f t="shared" ref="I5:I18" si="4">IF(AND(G5&lt;&gt;0,F5&lt;&gt;0),DOLLAR(G5, 2) &amp; " (" &amp; IF(F5&gt;=0.01, (ROUND(F5*100,0)), "&lt; 1") &amp; "%)", "")</f>
        <v/>
      </c>
    </row>
    <row r="6" spans="1:9" x14ac:dyDescent="0.25">
      <c r="A6" s="25" t="str">
        <f>Budget!C101</f>
        <v>Communications</v>
      </c>
      <c r="B6" s="26">
        <f>IF(IncomeTotal&gt;0,Budget!D101,0)</f>
        <v>0</v>
      </c>
      <c r="C6" s="26" t="str">
        <f t="shared" si="0"/>
        <v/>
      </c>
      <c r="D6" s="27" t="str">
        <f t="shared" si="1"/>
        <v/>
      </c>
      <c r="E6" s="26">
        <f t="shared" si="2"/>
        <v>0</v>
      </c>
      <c r="F6" s="28">
        <f>Budget!A101</f>
        <v>4.4646487989832888E-2</v>
      </c>
      <c r="G6" s="26">
        <f>IF(B6&lt;&gt;0,F6*B2,0)</f>
        <v>0</v>
      </c>
      <c r="H6" s="26" t="str">
        <f t="shared" si="3"/>
        <v/>
      </c>
      <c r="I6" s="27" t="str">
        <f t="shared" si="4"/>
        <v/>
      </c>
    </row>
    <row r="7" spans="1:9" x14ac:dyDescent="0.25">
      <c r="A7" s="25" t="str">
        <f>Budget!C119</f>
        <v>Food</v>
      </c>
      <c r="B7" s="26">
        <f>IF(IncomeTotal&gt;0,Budget!D119,0)</f>
        <v>0</v>
      </c>
      <c r="C7" s="26" t="str">
        <f t="shared" si="0"/>
        <v/>
      </c>
      <c r="D7" s="27" t="str">
        <f t="shared" si="1"/>
        <v/>
      </c>
      <c r="E7" s="26">
        <f t="shared" si="2"/>
        <v>0</v>
      </c>
      <c r="F7" s="28">
        <f>Budget!A119</f>
        <v>0.1343080505796749</v>
      </c>
      <c r="G7" s="26">
        <f>IF(B7&lt;&gt;0,F7*B2,0)</f>
        <v>0</v>
      </c>
      <c r="H7" s="26" t="str">
        <f t="shared" si="3"/>
        <v/>
      </c>
      <c r="I7" s="27" t="str">
        <f t="shared" si="4"/>
        <v/>
      </c>
    </row>
    <row r="8" spans="1:9" x14ac:dyDescent="0.25">
      <c r="A8" s="25" t="str">
        <f>Budget!C134</f>
        <v>Insurance</v>
      </c>
      <c r="B8" s="26">
        <f>IF(IncomeTotal&gt;0,Budget!D134,0)</f>
        <v>0</v>
      </c>
      <c r="C8" s="26" t="str">
        <f t="shared" si="0"/>
        <v/>
      </c>
      <c r="D8" s="27" t="str">
        <f t="shared" si="1"/>
        <v/>
      </c>
      <c r="E8" s="26">
        <f t="shared" si="2"/>
        <v>0</v>
      </c>
      <c r="F8" s="28">
        <f>Budget!A134</f>
        <v>1.7074936117572753E-2</v>
      </c>
      <c r="G8" s="26">
        <f>IF(B8&lt;&gt;0,F8*B2,0)</f>
        <v>0</v>
      </c>
      <c r="H8" s="26" t="str">
        <f t="shared" si="3"/>
        <v/>
      </c>
      <c r="I8" s="27" t="str">
        <f t="shared" si="4"/>
        <v/>
      </c>
    </row>
    <row r="9" spans="1:9" x14ac:dyDescent="0.25">
      <c r="A9" s="25" t="str">
        <f>Budget!C150</f>
        <v>Transportation</v>
      </c>
      <c r="B9" s="26">
        <f>IF(IncomeTotal&gt;0,Budget!D150,0)</f>
        <v>0</v>
      </c>
      <c r="C9" s="26" t="str">
        <f t="shared" si="0"/>
        <v/>
      </c>
      <c r="D9" s="27" t="str">
        <f t="shared" si="1"/>
        <v/>
      </c>
      <c r="E9" s="26">
        <f t="shared" si="2"/>
        <v>0</v>
      </c>
      <c r="F9" s="28">
        <f>Budget!A150</f>
        <v>0.15950428612786655</v>
      </c>
      <c r="G9" s="26">
        <f>IF(B9&lt;&gt;0,F9*B2,0)</f>
        <v>0</v>
      </c>
      <c r="H9" s="26" t="str">
        <f t="shared" si="3"/>
        <v/>
      </c>
      <c r="I9" s="27" t="str">
        <f t="shared" si="4"/>
        <v/>
      </c>
    </row>
    <row r="10" spans="1:9" hidden="1" x14ac:dyDescent="0.25">
      <c r="A10" s="25" t="str">
        <f>Budget!C171</f>
        <v>Childcare</v>
      </c>
      <c r="B10" s="26">
        <f>IF(IncomeTotal&gt;0,Budget!D171,0)</f>
        <v>0</v>
      </c>
      <c r="C10" s="26" t="str">
        <f t="shared" si="0"/>
        <v/>
      </c>
      <c r="D10" s="27" t="str">
        <f t="shared" si="1"/>
        <v/>
      </c>
      <c r="E10" s="26">
        <f t="shared" si="2"/>
        <v>0</v>
      </c>
      <c r="F10" s="28">
        <f>Budget!A171</f>
        <v>6.7209705796405367E-3</v>
      </c>
      <c r="G10" s="26">
        <f>IF(B10&lt;&gt;0,F10*B2,0)</f>
        <v>0</v>
      </c>
      <c r="H10" s="26" t="str">
        <f t="shared" si="3"/>
        <v/>
      </c>
      <c r="I10" s="27" t="str">
        <f t="shared" si="4"/>
        <v/>
      </c>
    </row>
    <row r="11" spans="1:9" x14ac:dyDescent="0.25">
      <c r="A11" s="25" t="str">
        <f>Budget!C188</f>
        <v>Education</v>
      </c>
      <c r="B11" s="26">
        <f>IF(IncomeTotal&gt;0,Budget!D188,0)</f>
        <v>0</v>
      </c>
      <c r="C11" s="26" t="str">
        <f t="shared" si="0"/>
        <v/>
      </c>
      <c r="D11" s="27" t="str">
        <f t="shared" si="1"/>
        <v/>
      </c>
      <c r="E11" s="26">
        <f t="shared" si="2"/>
        <v>0</v>
      </c>
      <c r="F11" s="28">
        <f>Budget!A188</f>
        <v>2.9784055080538083E-2</v>
      </c>
      <c r="G11" s="26">
        <f>IF(B11&lt;&gt;0,F11*B2,0)</f>
        <v>0</v>
      </c>
      <c r="H11" s="26" t="str">
        <f t="shared" si="3"/>
        <v/>
      </c>
      <c r="I11" s="27" t="str">
        <f t="shared" si="4"/>
        <v/>
      </c>
    </row>
    <row r="12" spans="1:9" x14ac:dyDescent="0.25">
      <c r="A12" s="25" t="str">
        <f>Budget!C204</f>
        <v>Recreation</v>
      </c>
      <c r="B12" s="26">
        <f>IF(IncomeTotal&gt;0,Budget!D204,0)</f>
        <v>0</v>
      </c>
      <c r="C12" s="26" t="str">
        <f t="shared" si="0"/>
        <v/>
      </c>
      <c r="D12" s="27" t="str">
        <f t="shared" si="1"/>
        <v/>
      </c>
      <c r="E12" s="26">
        <f t="shared" si="2"/>
        <v>0</v>
      </c>
      <c r="F12" s="28">
        <f>Budget!A204</f>
        <v>0.10499039287220184</v>
      </c>
      <c r="G12" s="26">
        <f>IF(B12&lt;&gt;0,F12*B2,0)</f>
        <v>0</v>
      </c>
      <c r="H12" s="26" t="str">
        <f t="shared" si="3"/>
        <v/>
      </c>
      <c r="I12" s="27" t="str">
        <f t="shared" si="4"/>
        <v/>
      </c>
    </row>
    <row r="13" spans="1:9" x14ac:dyDescent="0.25">
      <c r="A13" s="25" t="str">
        <f>Budget!C225</f>
        <v>Personal Care</v>
      </c>
      <c r="B13" s="26">
        <f>IF(IncomeTotal&gt;0,Budget!D225,0)</f>
        <v>0</v>
      </c>
      <c r="C13" s="26" t="str">
        <f t="shared" si="0"/>
        <v/>
      </c>
      <c r="D13" s="27" t="str">
        <f t="shared" si="1"/>
        <v/>
      </c>
      <c r="E13" s="26">
        <f t="shared" si="2"/>
        <v>0</v>
      </c>
      <c r="F13" s="28">
        <f>Budget!A225</f>
        <v>1.9316170414629925E-2</v>
      </c>
      <c r="G13" s="26">
        <f>IF(B13&lt;&gt;0,F13*B2,0)</f>
        <v>0</v>
      </c>
      <c r="H13" s="26" t="str">
        <f t="shared" si="3"/>
        <v/>
      </c>
      <c r="I13" s="27" t="str">
        <f t="shared" si="4"/>
        <v/>
      </c>
    </row>
    <row r="14" spans="1:9" x14ac:dyDescent="0.25">
      <c r="A14" s="25" t="str">
        <f>Budget!C241</f>
        <v>Clothing</v>
      </c>
      <c r="B14" s="26">
        <f>IF(IncomeTotal&gt;0,Budget!D241,0)</f>
        <v>0</v>
      </c>
      <c r="C14" s="26" t="str">
        <f t="shared" si="0"/>
        <v/>
      </c>
      <c r="D14" s="27" t="str">
        <f t="shared" si="1"/>
        <v/>
      </c>
      <c r="E14" s="26">
        <f t="shared" si="2"/>
        <v>0</v>
      </c>
      <c r="F14" s="28">
        <f>Budget!A241</f>
        <v>4.1893104458101182E-2</v>
      </c>
      <c r="G14" s="26">
        <f>IF(B14&lt;&gt;0,F14*B2,0)</f>
        <v>0</v>
      </c>
      <c r="H14" s="26" t="str">
        <f t="shared" si="3"/>
        <v/>
      </c>
      <c r="I14" s="27" t="str">
        <f t="shared" si="4"/>
        <v/>
      </c>
    </row>
    <row r="15" spans="1:9" x14ac:dyDescent="0.25">
      <c r="A15" s="25" t="str">
        <f>Budget!C257</f>
        <v>Medical</v>
      </c>
      <c r="B15" s="26">
        <f>IF(IncomeTotal&gt;0,Budget!D257,0)</f>
        <v>0</v>
      </c>
      <c r="C15" s="26" t="str">
        <f t="shared" si="0"/>
        <v/>
      </c>
      <c r="D15" s="27" t="str">
        <f t="shared" si="1"/>
        <v/>
      </c>
      <c r="E15" s="26">
        <f t="shared" si="2"/>
        <v>0</v>
      </c>
      <c r="F15" s="28">
        <f>Budget!A257</f>
        <v>2.7697180776936933E-2</v>
      </c>
      <c r="G15" s="26">
        <f>IF(B15&lt;&gt;0,F15*B2,0)</f>
        <v>0</v>
      </c>
      <c r="H15" s="26" t="str">
        <f t="shared" si="3"/>
        <v/>
      </c>
      <c r="I15" s="27" t="str">
        <f t="shared" si="4"/>
        <v/>
      </c>
    </row>
    <row r="16" spans="1:9" x14ac:dyDescent="0.25">
      <c r="A16" s="25" t="str">
        <f>Budget!C273</f>
        <v>Pets</v>
      </c>
      <c r="B16" s="26">
        <f>IF(IncomeTotal&gt;0,Budget!D273,0)</f>
        <v>0</v>
      </c>
      <c r="C16" s="26" t="str">
        <f t="shared" si="0"/>
        <v/>
      </c>
      <c r="D16" s="27" t="str">
        <f t="shared" si="1"/>
        <v/>
      </c>
      <c r="E16" s="26">
        <f t="shared" si="2"/>
        <v>0</v>
      </c>
      <c r="F16" s="28">
        <f>Budget!A273</f>
        <v>9.8797035206977107E-3</v>
      </c>
      <c r="G16" s="26">
        <f>IF(B16&lt;&gt;0,F16*B2,0)</f>
        <v>0</v>
      </c>
      <c r="H16" s="26" t="str">
        <f t="shared" si="3"/>
        <v/>
      </c>
      <c r="I16" s="27" t="str">
        <f t="shared" si="4"/>
        <v/>
      </c>
    </row>
    <row r="17" spans="1:9" x14ac:dyDescent="0.25">
      <c r="A17" s="25" t="str">
        <f>Budget!C288</f>
        <v>Fees</v>
      </c>
      <c r="B17" s="26">
        <f>IF(IncomeTotal&gt;0,Budget!D288,0)</f>
        <v>0</v>
      </c>
      <c r="C17" s="26" t="str">
        <f t="shared" si="0"/>
        <v/>
      </c>
      <c r="D17" s="27" t="str">
        <f t="shared" si="1"/>
        <v/>
      </c>
      <c r="E17" s="26">
        <f t="shared" si="2"/>
        <v>0</v>
      </c>
      <c r="F17" s="28">
        <f>Budget!A288</f>
        <v>2.6043428992558858E-2</v>
      </c>
      <c r="G17" s="26">
        <f>IF(B17&lt;&gt;0,F17*B2,0)</f>
        <v>0</v>
      </c>
      <c r="H17" s="26" t="str">
        <f t="shared" si="3"/>
        <v/>
      </c>
      <c r="I17" s="27" t="str">
        <f t="shared" si="4"/>
        <v/>
      </c>
    </row>
    <row r="18" spans="1:9" x14ac:dyDescent="0.25">
      <c r="A18" s="25" t="str">
        <f>Budget!C304</f>
        <v>Gifts and Donations</v>
      </c>
      <c r="B18" s="26">
        <f>IF(IncomeTotal&gt;0,Budget!D304,0)</f>
        <v>0</v>
      </c>
      <c r="C18" s="26" t="str">
        <f t="shared" si="0"/>
        <v/>
      </c>
      <c r="D18" s="27" t="str">
        <f t="shared" si="1"/>
        <v/>
      </c>
      <c r="E18" s="26">
        <f t="shared" si="2"/>
        <v>0</v>
      </c>
      <c r="F18" s="28">
        <f>Budget!A304</f>
        <v>2.8086994026017345E-2</v>
      </c>
      <c r="G18" s="26">
        <f>IF(B18&lt;&gt;0,F18*B2,0)</f>
        <v>0</v>
      </c>
      <c r="H18" s="26" t="str">
        <f t="shared" si="3"/>
        <v/>
      </c>
      <c r="I18" s="27" t="str">
        <f t="shared" si="4"/>
        <v/>
      </c>
    </row>
    <row r="20" spans="1:9" x14ac:dyDescent="0.25">
      <c r="A20" s="29"/>
      <c r="B20" s="29" t="s">
        <v>9</v>
      </c>
      <c r="C20" s="29" t="s">
        <v>10</v>
      </c>
      <c r="D20" s="29" t="s">
        <v>11</v>
      </c>
      <c r="E20" s="29" t="s">
        <v>12</v>
      </c>
      <c r="F20" s="29" t="s">
        <v>13</v>
      </c>
      <c r="G20" s="29" t="s">
        <v>14</v>
      </c>
    </row>
    <row r="21" spans="1:9" x14ac:dyDescent="0.25">
      <c r="A21" s="29" t="s">
        <v>15</v>
      </c>
      <c r="B21" s="31">
        <v>0</v>
      </c>
      <c r="C21" s="31">
        <f>Budget!D10</f>
        <v>0</v>
      </c>
      <c r="D21" s="31">
        <f>IF(AND(IncomeTotal&gt;0,SUM(B22:C22)&gt;C21),SUM(B22:C22)-C21,0)</f>
        <v>0</v>
      </c>
      <c r="E21" s="29"/>
      <c r="F21" s="29" t="str">
        <f>IF(IncomeTotal &gt; 0, Budget!C10 &amp; " " &amp; DOLLAR(IncomeTotal, 2),"")</f>
        <v/>
      </c>
      <c r="G21" s="29" t="str">
        <f>IF(AND(IncomeTotal &gt; 0,D21&lt;&gt;0),"Overspending " &amp; DOLLAR(D21,2)&amp;" ("&amp; IF(D21/IncomeTotal &gt;= 0.01, ROUND((D21/IncomeTotal)*100,0), "&lt; 1") &amp;"%)","")</f>
        <v/>
      </c>
    </row>
    <row r="22" spans="1:9" x14ac:dyDescent="0.25">
      <c r="A22" s="29" t="s">
        <v>16</v>
      </c>
      <c r="B22" s="31">
        <f>IF(IncomeTotal&gt;0,Budget!D36,0)</f>
        <v>0</v>
      </c>
      <c r="C22" s="31">
        <f>IF(IncomeTotal&gt;0,Budget!D57,0)</f>
        <v>0</v>
      </c>
      <c r="D22" s="31">
        <f>IF(AND(IncomeTotal&gt;0,C21&gt;SUM(B22:C22)),C21-SUM(B22:C22),0)</f>
        <v>0</v>
      </c>
      <c r="E22" s="29" t="str">
        <f>IF(AND(IncomeTotal &gt; 0,B22&lt;&gt;0), Budget!C36 &amp; " " &amp; DOLLAR(B22, 2) &amp; " (" &amp; IF(B22/ IncomeTotal &gt;=0.01, ROUND((B22/ IncomeTotal)  *100,0), "&lt; 1") &amp; "%)", "")</f>
        <v/>
      </c>
      <c r="F22" s="29" t="str">
        <f>IF(AND(IncomeTotal &gt; 0,C22&lt;&gt;0), Budget!C57 &amp; " " &amp; DOLLAR(C22, 2) &amp; " (" &amp; IF(C22/ IncomeTotal &gt;=0.01, ROUND((C22/ IncomeTotal)  *100,0), "&lt; 1") &amp; "%)", "")</f>
        <v/>
      </c>
      <c r="G22" s="29" t="str">
        <f>IF(AND(IncomeTotal &gt; 0,D22&lt;&gt;0), "Leftover income " &amp; DOLLAR(D22, 2) &amp; " (" &amp; IF(D22/ IncomeTotal &gt;=0.01, ROUND((D22/ IncomeTotal)  *100,0), "&lt; 1") &amp; "%)", "")</f>
        <v/>
      </c>
    </row>
    <row r="24" spans="1:9" x14ac:dyDescent="0.25">
      <c r="A24" s="30" t="s">
        <v>17</v>
      </c>
      <c r="B24" s="29" t="str">
        <f>IF(AND(IncomeTotal &gt; 0,SUM(B4:B18)&lt;&gt;0), DOLLAR(Budget!D57, 2) &amp; " (" &amp; ROUND((Budget!D57/ IncomeTotal)  *100,0) &amp; "%)", "")</f>
        <v/>
      </c>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8"/>
  <sheetViews>
    <sheetView workbookViewId="0">
      <selection activeCell="B2" sqref="B2"/>
    </sheetView>
  </sheetViews>
  <sheetFormatPr defaultRowHeight="12.75" x14ac:dyDescent="0.2"/>
  <cols>
    <col min="1" max="1" width="15" style="5" customWidth="1"/>
    <col min="2" max="2" width="40.7109375" style="5" customWidth="1"/>
    <col min="3" max="4" width="10.7109375" style="5" customWidth="1"/>
    <col min="5" max="5" width="40.7109375" style="5" customWidth="1"/>
    <col min="6" max="7" width="10.7109375" style="5" customWidth="1"/>
    <col min="8" max="8" width="40.7109375" style="5" customWidth="1"/>
    <col min="9" max="10" width="10.7109375" style="5" customWidth="1"/>
    <col min="11" max="11" width="40.7109375" style="5" customWidth="1"/>
    <col min="12" max="12" width="9.140625" style="2" customWidth="1"/>
    <col min="13" max="16384" width="9.140625" style="2"/>
  </cols>
  <sheetData>
    <row r="1" spans="1:11" x14ac:dyDescent="0.2">
      <c r="A1" s="7" t="s">
        <v>0</v>
      </c>
      <c r="B1" s="9" t="s">
        <v>414</v>
      </c>
      <c r="C1" s="9" t="s">
        <v>415</v>
      </c>
      <c r="D1" s="9" t="s">
        <v>416</v>
      </c>
      <c r="E1" s="10" t="s">
        <v>417</v>
      </c>
      <c r="F1" s="10" t="s">
        <v>418</v>
      </c>
      <c r="G1" s="10" t="s">
        <v>419</v>
      </c>
      <c r="H1" s="11" t="s">
        <v>420</v>
      </c>
      <c r="I1" s="11" t="s">
        <v>421</v>
      </c>
      <c r="J1" s="11" t="s">
        <v>422</v>
      </c>
      <c r="K1" s="11" t="s">
        <v>423</v>
      </c>
    </row>
    <row r="2" spans="1:11" s="6" customFormat="1" ht="25.5" customHeight="1" x14ac:dyDescent="0.25">
      <c r="A2" s="8" t="s">
        <v>221</v>
      </c>
      <c r="B2" s="12"/>
      <c r="C2" s="12"/>
      <c r="D2" s="12"/>
      <c r="E2" s="12"/>
      <c r="F2" s="12"/>
      <c r="G2" s="12"/>
      <c r="H2" s="12"/>
      <c r="I2" s="12"/>
      <c r="J2" s="12"/>
      <c r="K2" s="12" t="s">
        <v>424</v>
      </c>
    </row>
    <row r="3" spans="1:11" s="6" customFormat="1" ht="25.5" customHeight="1" x14ac:dyDescent="0.25">
      <c r="A3" s="8" t="s">
        <v>51</v>
      </c>
      <c r="B3" s="12" t="s">
        <v>425</v>
      </c>
      <c r="C3" s="12">
        <v>0.05</v>
      </c>
      <c r="D3" s="12"/>
      <c r="E3" s="12" t="s">
        <v>426</v>
      </c>
      <c r="F3" s="12">
        <v>0</v>
      </c>
      <c r="G3" s="12">
        <v>0.05</v>
      </c>
      <c r="H3" s="12"/>
      <c r="I3" s="12"/>
      <c r="J3" s="12"/>
      <c r="K3" s="12" t="s">
        <v>427</v>
      </c>
    </row>
    <row r="4" spans="1:11" s="6" customFormat="1" ht="25.5" customHeight="1" x14ac:dyDescent="0.25">
      <c r="A4" s="8" t="s">
        <v>88</v>
      </c>
      <c r="B4" s="12" t="s">
        <v>428</v>
      </c>
      <c r="C4" s="12">
        <v>0</v>
      </c>
      <c r="D4" s="12">
        <v>0.15</v>
      </c>
      <c r="E4" s="12" t="s">
        <v>429</v>
      </c>
      <c r="F4" s="12">
        <v>0.15</v>
      </c>
      <c r="G4" s="12">
        <v>0.3</v>
      </c>
      <c r="H4" s="12" t="s">
        <v>430</v>
      </c>
      <c r="I4" s="12">
        <v>0.3</v>
      </c>
      <c r="J4" s="12"/>
      <c r="K4" s="12"/>
    </row>
    <row r="5" spans="1:11" s="6" customFormat="1" ht="25.5" customHeight="1" x14ac:dyDescent="0.25">
      <c r="A5" s="8" t="s">
        <v>109</v>
      </c>
      <c r="B5" s="12" t="s">
        <v>431</v>
      </c>
      <c r="C5" s="12">
        <v>0</v>
      </c>
      <c r="D5" s="12">
        <v>0.35</v>
      </c>
      <c r="E5" s="12" t="s">
        <v>432</v>
      </c>
      <c r="F5" s="12">
        <v>0.35</v>
      </c>
      <c r="G5" s="12">
        <v>0.43</v>
      </c>
      <c r="H5" s="12" t="s">
        <v>433</v>
      </c>
      <c r="I5" s="12">
        <v>0.43</v>
      </c>
      <c r="J5" s="12"/>
      <c r="K5" s="12"/>
    </row>
    <row r="6" spans="1:11" s="6" customFormat="1" ht="25.5" customHeight="1" x14ac:dyDescent="0.25">
      <c r="A6" s="8" t="s">
        <v>140</v>
      </c>
      <c r="B6" s="12" t="s">
        <v>434</v>
      </c>
      <c r="C6" s="12">
        <v>0</v>
      </c>
      <c r="D6" s="12">
        <v>0.05</v>
      </c>
      <c r="E6" s="12" t="s">
        <v>435</v>
      </c>
      <c r="F6" s="12">
        <v>0.05</v>
      </c>
      <c r="G6" s="12">
        <v>0.15</v>
      </c>
      <c r="H6" s="12" t="s">
        <v>436</v>
      </c>
      <c r="I6" s="12">
        <v>0.15</v>
      </c>
      <c r="J6" s="12"/>
      <c r="K6" s="12"/>
    </row>
    <row r="7" spans="1:11" s="6" customFormat="1" ht="25.5" customHeight="1" x14ac:dyDescent="0.25">
      <c r="A7" s="8" t="s">
        <v>150</v>
      </c>
      <c r="B7" s="12" t="s">
        <v>437</v>
      </c>
      <c r="C7" s="12">
        <v>0</v>
      </c>
      <c r="D7" s="12">
        <v>0.2</v>
      </c>
      <c r="E7" s="12" t="s">
        <v>438</v>
      </c>
      <c r="F7" s="12">
        <v>0.2</v>
      </c>
      <c r="G7" s="12">
        <v>0.3</v>
      </c>
      <c r="H7" s="12" t="s">
        <v>439</v>
      </c>
      <c r="I7" s="12">
        <v>0.3</v>
      </c>
      <c r="J7" s="12"/>
      <c r="K7" s="12" t="s">
        <v>440</v>
      </c>
    </row>
    <row r="8" spans="1:11" s="6" customFormat="1" ht="25.5" customHeight="1" x14ac:dyDescent="0.25">
      <c r="A8" s="8" t="s">
        <v>157</v>
      </c>
      <c r="B8" s="12" t="s">
        <v>441</v>
      </c>
      <c r="C8" s="12">
        <v>0</v>
      </c>
      <c r="D8" s="12">
        <v>0.03</v>
      </c>
      <c r="E8" s="12" t="s">
        <v>442</v>
      </c>
      <c r="F8" s="12">
        <v>0.03</v>
      </c>
      <c r="G8" s="12">
        <v>0.09</v>
      </c>
      <c r="H8" s="12" t="s">
        <v>443</v>
      </c>
      <c r="I8" s="12">
        <v>0.09</v>
      </c>
      <c r="J8" s="12"/>
      <c r="K8" s="12" t="s">
        <v>444</v>
      </c>
    </row>
    <row r="9" spans="1:11" s="6" customFormat="1" ht="25.5" customHeight="1" x14ac:dyDescent="0.25">
      <c r="A9" s="8" t="s">
        <v>166</v>
      </c>
      <c r="B9" s="12" t="s">
        <v>437</v>
      </c>
      <c r="C9" s="12">
        <v>0</v>
      </c>
      <c r="D9" s="12">
        <v>0.2</v>
      </c>
      <c r="E9" s="12" t="s">
        <v>438</v>
      </c>
      <c r="F9" s="12">
        <v>0.2</v>
      </c>
      <c r="G9" s="12">
        <v>0.3</v>
      </c>
      <c r="H9" s="12" t="s">
        <v>439</v>
      </c>
      <c r="I9" s="12">
        <v>0.3</v>
      </c>
      <c r="J9" s="12"/>
      <c r="K9" s="12" t="s">
        <v>440</v>
      </c>
    </row>
    <row r="10" spans="1:11" s="6" customFormat="1" ht="25.5" customHeight="1" x14ac:dyDescent="0.25">
      <c r="A10" s="8" t="s">
        <v>319</v>
      </c>
      <c r="B10" s="12" t="s">
        <v>445</v>
      </c>
      <c r="C10" s="12">
        <v>0</v>
      </c>
      <c r="D10" s="12">
        <v>0.14000000000000001</v>
      </c>
      <c r="E10" s="12" t="s">
        <v>446</v>
      </c>
      <c r="F10" s="12">
        <v>0.14000000000000001</v>
      </c>
      <c r="G10" s="12">
        <v>0.25</v>
      </c>
      <c r="H10" s="12" t="s">
        <v>447</v>
      </c>
      <c r="I10" s="12">
        <v>0.25</v>
      </c>
      <c r="J10" s="12"/>
      <c r="K10" s="12"/>
    </row>
    <row r="11" spans="1:11" s="6" customFormat="1" ht="25.5" customHeight="1" x14ac:dyDescent="0.25">
      <c r="A11" s="8" t="s">
        <v>62</v>
      </c>
      <c r="B11" s="12" t="s">
        <v>448</v>
      </c>
      <c r="C11" s="12">
        <v>0</v>
      </c>
      <c r="D11" s="12">
        <v>0.08</v>
      </c>
      <c r="E11" s="12" t="s">
        <v>449</v>
      </c>
      <c r="F11" s="12">
        <v>0.08</v>
      </c>
      <c r="G11" s="12">
        <v>0.17</v>
      </c>
      <c r="H11" s="12" t="s">
        <v>450</v>
      </c>
      <c r="I11" s="12">
        <v>0.17</v>
      </c>
      <c r="J11" s="12"/>
      <c r="K11" s="12"/>
    </row>
    <row r="12" spans="1:11" s="6" customFormat="1" ht="25.5" customHeight="1" x14ac:dyDescent="0.25">
      <c r="A12" s="8" t="s">
        <v>179</v>
      </c>
      <c r="B12" s="12" t="s">
        <v>428</v>
      </c>
      <c r="C12" s="12">
        <v>0</v>
      </c>
      <c r="D12" s="12">
        <v>0.15</v>
      </c>
      <c r="E12" s="12" t="s">
        <v>429</v>
      </c>
      <c r="F12" s="12">
        <v>0.15</v>
      </c>
      <c r="G12" s="12">
        <v>0.3</v>
      </c>
      <c r="H12" s="12" t="s">
        <v>430</v>
      </c>
      <c r="I12" s="12">
        <v>0.3</v>
      </c>
      <c r="J12" s="12"/>
      <c r="K12" s="12"/>
    </row>
    <row r="13" spans="1:11" s="6" customFormat="1" ht="25.5" customHeight="1" x14ac:dyDescent="0.25">
      <c r="A13" s="8" t="s">
        <v>451</v>
      </c>
      <c r="B13" s="12" t="s">
        <v>452</v>
      </c>
      <c r="C13" s="12">
        <v>0</v>
      </c>
      <c r="D13" s="12">
        <v>0.02</v>
      </c>
      <c r="E13" s="12" t="s">
        <v>453</v>
      </c>
      <c r="F13" s="12">
        <v>0.02</v>
      </c>
      <c r="G13" s="12">
        <v>0.1</v>
      </c>
      <c r="H13" s="12" t="s">
        <v>454</v>
      </c>
      <c r="I13" s="12">
        <v>0.1</v>
      </c>
      <c r="J13" s="12"/>
      <c r="K13" s="12"/>
    </row>
    <row r="14" spans="1:11" s="6" customFormat="1" ht="25.5" customHeight="1" x14ac:dyDescent="0.25">
      <c r="A14" s="8" t="s">
        <v>183</v>
      </c>
      <c r="B14" s="12" t="s">
        <v>434</v>
      </c>
      <c r="C14" s="12">
        <v>0</v>
      </c>
      <c r="D14" s="12">
        <v>0.05</v>
      </c>
      <c r="E14" s="12" t="s">
        <v>435</v>
      </c>
      <c r="F14" s="12">
        <v>0.05</v>
      </c>
      <c r="G14" s="12">
        <v>0.2</v>
      </c>
      <c r="H14" s="12" t="s">
        <v>455</v>
      </c>
      <c r="I14" s="12">
        <v>0.2</v>
      </c>
      <c r="J14" s="12"/>
      <c r="K14" s="12" t="s">
        <v>456</v>
      </c>
    </row>
    <row r="15" spans="1:11" s="6" customFormat="1" ht="25.5" customHeight="1" x14ac:dyDescent="0.25">
      <c r="A15" s="8" t="s">
        <v>162</v>
      </c>
      <c r="B15" s="12" t="s">
        <v>434</v>
      </c>
      <c r="C15" s="12">
        <v>0</v>
      </c>
      <c r="D15" s="12">
        <v>0.05</v>
      </c>
      <c r="E15" s="12" t="s">
        <v>435</v>
      </c>
      <c r="F15" s="12">
        <v>0.05</v>
      </c>
      <c r="G15" s="12">
        <v>0.2</v>
      </c>
      <c r="H15" s="12" t="s">
        <v>436</v>
      </c>
      <c r="I15" s="12">
        <v>0.2</v>
      </c>
      <c r="J15" s="12"/>
      <c r="K15" s="12"/>
    </row>
    <row r="16" spans="1:11" s="6" customFormat="1" ht="25.5" customHeight="1" x14ac:dyDescent="0.25">
      <c r="A16" s="8" t="s">
        <v>362</v>
      </c>
      <c r="B16" s="12" t="s">
        <v>452</v>
      </c>
      <c r="C16" s="12">
        <v>0</v>
      </c>
      <c r="D16" s="12">
        <v>0.02</v>
      </c>
      <c r="E16" s="12" t="s">
        <v>453</v>
      </c>
      <c r="F16" s="12">
        <v>0.02</v>
      </c>
      <c r="G16" s="12">
        <v>0.1</v>
      </c>
      <c r="H16" s="12" t="s">
        <v>454</v>
      </c>
      <c r="I16" s="12">
        <v>0.1</v>
      </c>
      <c r="J16" s="12"/>
      <c r="K16" s="12"/>
    </row>
    <row r="17" spans="1:11" s="6" customFormat="1" ht="25.5" customHeight="1" x14ac:dyDescent="0.25">
      <c r="A17" s="8" t="s">
        <v>187</v>
      </c>
      <c r="B17" s="12" t="s">
        <v>452</v>
      </c>
      <c r="C17" s="12">
        <v>0</v>
      </c>
      <c r="D17" s="12">
        <v>0.02</v>
      </c>
      <c r="E17" s="12" t="s">
        <v>453</v>
      </c>
      <c r="F17" s="12">
        <v>0.02</v>
      </c>
      <c r="G17" s="12">
        <v>0.1</v>
      </c>
      <c r="H17" s="12" t="s">
        <v>454</v>
      </c>
      <c r="I17" s="12">
        <v>0.1</v>
      </c>
      <c r="J17" s="12"/>
      <c r="K17" s="12"/>
    </row>
    <row r="18" spans="1:11" s="6" customFormat="1" ht="25.5" customHeight="1" x14ac:dyDescent="0.25">
      <c r="A18" s="8" t="s">
        <v>457</v>
      </c>
      <c r="B18" s="12" t="s">
        <v>434</v>
      </c>
      <c r="C18" s="12">
        <v>0</v>
      </c>
      <c r="D18" s="12">
        <v>0.05</v>
      </c>
      <c r="E18" s="12" t="s">
        <v>435</v>
      </c>
      <c r="F18" s="12">
        <v>0.05</v>
      </c>
      <c r="G18" s="12">
        <v>0.2</v>
      </c>
      <c r="H18" s="12" t="s">
        <v>436</v>
      </c>
      <c r="I18" s="12">
        <v>0.2</v>
      </c>
      <c r="J18" s="12"/>
      <c r="K18" s="12"/>
    </row>
  </sheetData>
  <conditionalFormatting sqref="D3">
    <cfRule type="iconSet" priority="1">
      <iconSet iconSet="3Symbols">
        <cfvo type="percent" val="0"/>
        <cfvo type="percent" val="33"/>
        <cfvo type="percent" val="67"/>
      </iconSet>
    </cfRule>
  </conditionalFormatting>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G35"/>
  <sheetViews>
    <sheetView showGridLines="0" workbookViewId="0">
      <selection activeCell="C12" sqref="C12"/>
    </sheetView>
  </sheetViews>
  <sheetFormatPr defaultRowHeight="15" x14ac:dyDescent="0.25"/>
  <cols>
    <col min="1" max="1" width="13.140625" bestFit="1" customWidth="1"/>
    <col min="2" max="2" width="11" bestFit="1" customWidth="1"/>
    <col min="3" max="3" width="11.7109375" bestFit="1" customWidth="1"/>
    <col min="4" max="4" width="9.140625" customWidth="1"/>
    <col min="5" max="5" width="12.28515625" bestFit="1" customWidth="1"/>
    <col min="7" max="7" width="22.28515625" bestFit="1" customWidth="1"/>
  </cols>
  <sheetData>
    <row r="1" spans="1:7" x14ac:dyDescent="0.25">
      <c r="A1" s="13" t="s">
        <v>226</v>
      </c>
      <c r="B1" s="13" t="s">
        <v>373</v>
      </c>
      <c r="E1" s="20" t="s">
        <v>374</v>
      </c>
      <c r="G1" s="20" t="s">
        <v>375</v>
      </c>
    </row>
    <row r="2" spans="1:7" x14ac:dyDescent="0.25">
      <c r="A2" s="1" t="s">
        <v>376</v>
      </c>
      <c r="B2" s="1">
        <v>365</v>
      </c>
      <c r="E2" s="1" t="s">
        <v>258</v>
      </c>
      <c r="G2" s="1" t="s">
        <v>377</v>
      </c>
    </row>
    <row r="3" spans="1:7" x14ac:dyDescent="0.25">
      <c r="A3" s="1" t="s">
        <v>300</v>
      </c>
      <c r="B3" s="1">
        <v>52</v>
      </c>
      <c r="E3" s="1" t="s">
        <v>378</v>
      </c>
      <c r="G3" s="1" t="s">
        <v>205</v>
      </c>
    </row>
    <row r="4" spans="1:7" x14ac:dyDescent="0.25">
      <c r="A4" s="1" t="s">
        <v>231</v>
      </c>
      <c r="B4" s="1">
        <v>26</v>
      </c>
      <c r="E4" s="1" t="s">
        <v>260</v>
      </c>
      <c r="G4" s="1" t="s">
        <v>379</v>
      </c>
    </row>
    <row r="5" spans="1:7" x14ac:dyDescent="0.25">
      <c r="A5" s="1" t="s">
        <v>380</v>
      </c>
      <c r="B5" s="1">
        <v>24</v>
      </c>
      <c r="E5" s="1" t="s">
        <v>261</v>
      </c>
      <c r="G5" s="1" t="s">
        <v>381</v>
      </c>
    </row>
    <row r="6" spans="1:7" x14ac:dyDescent="0.25">
      <c r="A6" s="1" t="s">
        <v>215</v>
      </c>
      <c r="B6" s="1">
        <v>12</v>
      </c>
      <c r="E6" s="1" t="s">
        <v>382</v>
      </c>
      <c r="G6" s="1" t="s">
        <v>383</v>
      </c>
    </row>
    <row r="7" spans="1:7" x14ac:dyDescent="0.25">
      <c r="A7" s="1" t="s">
        <v>384</v>
      </c>
      <c r="B7" s="1">
        <v>4</v>
      </c>
      <c r="E7" s="1" t="s">
        <v>383</v>
      </c>
      <c r="G7" s="2"/>
    </row>
    <row r="8" spans="1:7" x14ac:dyDescent="0.25">
      <c r="A8" s="1" t="s">
        <v>385</v>
      </c>
      <c r="B8" s="1">
        <v>2</v>
      </c>
      <c r="E8" s="2"/>
      <c r="G8" s="20" t="s">
        <v>386</v>
      </c>
    </row>
    <row r="9" spans="1:7" x14ac:dyDescent="0.25">
      <c r="A9" s="1" t="s">
        <v>268</v>
      </c>
      <c r="B9" s="1">
        <v>1</v>
      </c>
      <c r="E9" s="20" t="s">
        <v>387</v>
      </c>
      <c r="G9" s="1" t="s">
        <v>388</v>
      </c>
    </row>
    <row r="10" spans="1:7" x14ac:dyDescent="0.25">
      <c r="E10" s="1" t="s">
        <v>258</v>
      </c>
      <c r="G10" s="1" t="s">
        <v>389</v>
      </c>
    </row>
    <row r="11" spans="1:7" x14ac:dyDescent="0.25">
      <c r="A11" s="14" t="s">
        <v>226</v>
      </c>
      <c r="B11" s="15" t="s">
        <v>373</v>
      </c>
      <c r="C11" s="47" t="s">
        <v>390</v>
      </c>
      <c r="E11" s="1" t="s">
        <v>378</v>
      </c>
      <c r="G11" s="1" t="s">
        <v>391</v>
      </c>
    </row>
    <row r="12" spans="1:7" x14ac:dyDescent="0.25">
      <c r="A12" s="16" t="s">
        <v>300</v>
      </c>
      <c r="B12" s="17">
        <v>52</v>
      </c>
      <c r="C12" s="48" t="s">
        <v>392</v>
      </c>
      <c r="D12" s="46"/>
      <c r="E12" s="1" t="s">
        <v>383</v>
      </c>
      <c r="G12" s="1" t="s">
        <v>393</v>
      </c>
    </row>
    <row r="13" spans="1:7" x14ac:dyDescent="0.25">
      <c r="A13" s="16" t="s">
        <v>231</v>
      </c>
      <c r="B13" s="17">
        <v>26</v>
      </c>
      <c r="C13" s="48" t="s">
        <v>394</v>
      </c>
      <c r="D13" s="46"/>
      <c r="E13" s="2"/>
      <c r="G13" s="1" t="s">
        <v>395</v>
      </c>
    </row>
    <row r="14" spans="1:7" x14ac:dyDescent="0.25">
      <c r="A14" s="16" t="s">
        <v>215</v>
      </c>
      <c r="B14" s="17">
        <v>12</v>
      </c>
      <c r="C14" s="48" t="s">
        <v>396</v>
      </c>
      <c r="D14" s="46"/>
      <c r="E14" s="20" t="s">
        <v>397</v>
      </c>
      <c r="G14" s="2"/>
    </row>
    <row r="15" spans="1:7" x14ac:dyDescent="0.25">
      <c r="A15" s="18" t="s">
        <v>268</v>
      </c>
      <c r="B15" s="19">
        <v>1</v>
      </c>
      <c r="C15" s="48" t="s">
        <v>398</v>
      </c>
      <c r="D15" s="46"/>
      <c r="E15" s="1" t="s">
        <v>258</v>
      </c>
      <c r="G15" s="20" t="s">
        <v>399</v>
      </c>
    </row>
    <row r="16" spans="1:7" x14ac:dyDescent="0.25">
      <c r="E16" s="1" t="s">
        <v>378</v>
      </c>
      <c r="G16" s="1" t="s">
        <v>400</v>
      </c>
    </row>
    <row r="17" spans="5:7" x14ac:dyDescent="0.25">
      <c r="E17" s="1" t="s">
        <v>260</v>
      </c>
      <c r="G17" s="1" t="s">
        <v>209</v>
      </c>
    </row>
    <row r="18" spans="5:7" x14ac:dyDescent="0.25">
      <c r="E18" s="1" t="s">
        <v>382</v>
      </c>
      <c r="G18" s="1" t="s">
        <v>401</v>
      </c>
    </row>
    <row r="19" spans="5:7" x14ac:dyDescent="0.25">
      <c r="E19" s="1" t="s">
        <v>383</v>
      </c>
      <c r="G19" s="1" t="s">
        <v>402</v>
      </c>
    </row>
    <row r="20" spans="5:7" x14ac:dyDescent="0.25">
      <c r="E20" s="2"/>
      <c r="G20" s="1" t="s">
        <v>403</v>
      </c>
    </row>
    <row r="21" spans="5:7" x14ac:dyDescent="0.25">
      <c r="E21" s="2"/>
      <c r="G21" s="1" t="s">
        <v>404</v>
      </c>
    </row>
    <row r="22" spans="5:7" x14ac:dyDescent="0.25">
      <c r="E22" s="2"/>
      <c r="G22" s="1" t="s">
        <v>383</v>
      </c>
    </row>
    <row r="23" spans="5:7" x14ac:dyDescent="0.25">
      <c r="E23" s="20" t="s">
        <v>405</v>
      </c>
      <c r="G23" s="2"/>
    </row>
    <row r="24" spans="5:7" x14ac:dyDescent="0.25">
      <c r="E24" s="1" t="s">
        <v>258</v>
      </c>
      <c r="G24" s="2"/>
    </row>
    <row r="25" spans="5:7" x14ac:dyDescent="0.25">
      <c r="E25" s="1" t="s">
        <v>378</v>
      </c>
      <c r="G25" s="20" t="s">
        <v>406</v>
      </c>
    </row>
    <row r="26" spans="5:7" x14ac:dyDescent="0.25">
      <c r="E26" s="1" t="s">
        <v>261</v>
      </c>
      <c r="G26" s="1" t="s">
        <v>211</v>
      </c>
    </row>
    <row r="27" spans="5:7" x14ac:dyDescent="0.25">
      <c r="E27" s="1" t="s">
        <v>383</v>
      </c>
      <c r="G27" s="1" t="s">
        <v>407</v>
      </c>
    </row>
    <row r="28" spans="5:7" x14ac:dyDescent="0.25">
      <c r="E28" s="2"/>
      <c r="G28" s="1" t="s">
        <v>383</v>
      </c>
    </row>
    <row r="29" spans="5:7" x14ac:dyDescent="0.25">
      <c r="E29" s="20" t="s">
        <v>408</v>
      </c>
      <c r="G29" s="2"/>
    </row>
    <row r="30" spans="5:7" x14ac:dyDescent="0.25">
      <c r="E30" s="1" t="s">
        <v>258</v>
      </c>
      <c r="G30" s="20" t="s">
        <v>409</v>
      </c>
    </row>
    <row r="31" spans="5:7" x14ac:dyDescent="0.25">
      <c r="E31" s="1" t="s">
        <v>378</v>
      </c>
      <c r="G31" s="1" t="s">
        <v>410</v>
      </c>
    </row>
    <row r="32" spans="5:7" x14ac:dyDescent="0.25">
      <c r="E32" s="1" t="s">
        <v>260</v>
      </c>
      <c r="G32" s="1" t="s">
        <v>411</v>
      </c>
    </row>
    <row r="33" spans="5:7" x14ac:dyDescent="0.25">
      <c r="E33" s="1" t="s">
        <v>383</v>
      </c>
      <c r="G33" s="1" t="s">
        <v>213</v>
      </c>
    </row>
    <row r="34" spans="5:7" x14ac:dyDescent="0.25">
      <c r="G34" s="1" t="s">
        <v>412</v>
      </c>
    </row>
    <row r="35" spans="5:7" x14ac:dyDescent="0.25">
      <c r="G35" s="1" t="s">
        <v>413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1"/>
  <sheetViews>
    <sheetView showGridLines="0" workbookViewId="0">
      <selection activeCell="C16" sqref="C16"/>
    </sheetView>
  </sheetViews>
  <sheetFormatPr defaultRowHeight="12.75" x14ac:dyDescent="0.2"/>
  <cols>
    <col min="1" max="1" width="19.42578125" style="2" customWidth="1"/>
    <col min="2" max="2" width="18" style="2" bestFit="1" customWidth="1"/>
    <col min="3" max="3" width="17.140625" style="2" bestFit="1" customWidth="1"/>
    <col min="4" max="4" width="9.140625" style="2" customWidth="1"/>
    <col min="5" max="16384" width="9.140625" style="2"/>
  </cols>
  <sheetData>
    <row r="1" spans="1:2" x14ac:dyDescent="0.2">
      <c r="A1" s="21" t="s">
        <v>458</v>
      </c>
      <c r="B1" s="21" t="s">
        <v>459</v>
      </c>
    </row>
    <row r="2" spans="1:2" x14ac:dyDescent="0.2">
      <c r="A2" s="1" t="s">
        <v>460</v>
      </c>
      <c r="B2" s="1" t="b">
        <f>IF(Life = LifeSingle, TRUE, FALSE)</f>
        <v>0</v>
      </c>
    </row>
    <row r="3" spans="1:2" x14ac:dyDescent="0.2">
      <c r="A3" s="1" t="s">
        <v>461</v>
      </c>
      <c r="B3" s="1" t="b">
        <f>IF(Life = LifeCouple, TRUE, FALSE)</f>
        <v>1</v>
      </c>
    </row>
    <row r="4" spans="1:2" x14ac:dyDescent="0.2">
      <c r="A4" s="1" t="s">
        <v>462</v>
      </c>
      <c r="B4" s="1" t="b">
        <f>IF(Life = LifeSingleKids, TRUE, FALSE)</f>
        <v>0</v>
      </c>
    </row>
    <row r="5" spans="1:2" x14ac:dyDescent="0.2">
      <c r="A5" s="1" t="s">
        <v>463</v>
      </c>
      <c r="B5" s="1" t="b">
        <f>IF(Life = LifeCoupleKids, TRUE, FALSE)</f>
        <v>0</v>
      </c>
    </row>
    <row r="6" spans="1:2" x14ac:dyDescent="0.2">
      <c r="A6" s="1" t="s">
        <v>464</v>
      </c>
      <c r="B6" s="1" t="b">
        <f>IF(Life=LifeOther, TRUE, FALSE)</f>
        <v>0</v>
      </c>
    </row>
    <row r="7" spans="1:2" x14ac:dyDescent="0.2">
      <c r="A7" s="1" t="s">
        <v>465</v>
      </c>
      <c r="B7" s="1" t="b">
        <f>IF(Work = WorkParttime, TRUE, FALSE)</f>
        <v>0</v>
      </c>
    </row>
    <row r="8" spans="1:2" x14ac:dyDescent="0.2">
      <c r="A8" s="1" t="s">
        <v>466</v>
      </c>
      <c r="B8" s="1" t="b">
        <f>IF(Work=  WorkFulltime, TRUE, FALSE)</f>
        <v>1</v>
      </c>
    </row>
    <row r="9" spans="1:2" x14ac:dyDescent="0.2">
      <c r="A9" s="1" t="s">
        <v>467</v>
      </c>
      <c r="B9" s="1" t="b">
        <f>IF(Work = WorkSelfemployed, TRUE, FALSE)</f>
        <v>0</v>
      </c>
    </row>
    <row r="10" spans="1:2" x14ac:dyDescent="0.2">
      <c r="A10" s="1" t="s">
        <v>468</v>
      </c>
      <c r="B10" s="1" t="b">
        <f>IF(Work = WorkStudent, TRUE, FALSE)</f>
        <v>0</v>
      </c>
    </row>
    <row r="11" spans="1:2" x14ac:dyDescent="0.2">
      <c r="A11" s="1" t="s">
        <v>469</v>
      </c>
      <c r="B11" s="1" t="b">
        <f>IF(Work=WorkRetired, TRUE, FALSE)</f>
        <v>0</v>
      </c>
    </row>
    <row r="12" spans="1:2" x14ac:dyDescent="0.2">
      <c r="A12" s="1" t="s">
        <v>470</v>
      </c>
      <c r="B12" s="1" t="b">
        <f>IF(Work=WorkUnemployed, TRUE, FALSE)</f>
        <v>0</v>
      </c>
    </row>
    <row r="13" spans="1:2" x14ac:dyDescent="0.2">
      <c r="A13" s="1" t="s">
        <v>471</v>
      </c>
      <c r="B13" s="1" t="b">
        <f>IF(Work=WorkOther,TRUE, FALSE)</f>
        <v>0</v>
      </c>
    </row>
    <row r="14" spans="1:2" x14ac:dyDescent="0.2">
      <c r="A14" s="1" t="s">
        <v>472</v>
      </c>
      <c r="B14" s="1" t="b">
        <f>IF(Home=HomeOwner, TRUE,FALSE)</f>
        <v>1</v>
      </c>
    </row>
    <row r="15" spans="1:2" x14ac:dyDescent="0.2">
      <c r="A15" s="1" t="s">
        <v>473</v>
      </c>
      <c r="B15" s="1" t="b">
        <f>IF(Home=HomeOther,TRUE, FALSE)</f>
        <v>0</v>
      </c>
    </row>
    <row r="16" spans="1:2" x14ac:dyDescent="0.2">
      <c r="A16" s="1" t="s">
        <v>474</v>
      </c>
      <c r="B16" s="1" t="b">
        <f>IF(Home=HomeRenting,TRUE,FALSE)</f>
        <v>0</v>
      </c>
    </row>
    <row r="17" spans="1:2" x14ac:dyDescent="0.2">
      <c r="A17" s="1" t="s">
        <v>475</v>
      </c>
      <c r="B17" s="1" t="b">
        <f>IF(Goal = GoalStayOnTrack,TRUE,FALSE)</f>
        <v>0</v>
      </c>
    </row>
    <row r="18" spans="1:2" x14ac:dyDescent="0.2">
      <c r="A18" s="1" t="s">
        <v>476</v>
      </c>
      <c r="B18" s="1" t="b">
        <f>IF(Goal=GoalCutOnExpenses,TRUE,FALSE)</f>
        <v>0</v>
      </c>
    </row>
    <row r="19" spans="1:2" x14ac:dyDescent="0.2">
      <c r="A19" s="1" t="s">
        <v>477</v>
      </c>
      <c r="B19" s="1" t="b">
        <f>IF(Goal=GoalSaveMoney,TRUE,FALSE)</f>
        <v>1</v>
      </c>
    </row>
    <row r="20" spans="1:2" x14ac:dyDescent="0.2">
      <c r="A20" s="1" t="s">
        <v>478</v>
      </c>
      <c r="B20" s="1" t="b">
        <f>IF(Goal=GoalCreateBudget,TRUE,FALSE)</f>
        <v>0</v>
      </c>
    </row>
    <row r="21" spans="1:2" x14ac:dyDescent="0.2">
      <c r="A21" s="1" t="s">
        <v>479</v>
      </c>
      <c r="B21" s="1" t="b">
        <f>IF(Goal=GoalReduceDebt,TRUE,FALSE)</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8E74FC8DF55C4CAF8B7D67CF7F24DE" ma:contentTypeVersion="17" ma:contentTypeDescription="Create a new document." ma:contentTypeScope="" ma:versionID="42f24a072136c1c3008aa5ba206341a5">
  <xsd:schema xmlns:xsd="http://www.w3.org/2001/XMLSchema" xmlns:xs="http://www.w3.org/2001/XMLSchema" xmlns:p="http://schemas.microsoft.com/office/2006/metadata/properties" xmlns:ns2="a2c087c1-1672-420e-9c9e-1013c3337ae4" xmlns:ns3="2c043eba-9728-4f2c-bc12-91f3020ba39e" targetNamespace="http://schemas.microsoft.com/office/2006/metadata/properties" ma:root="true" ma:fieldsID="f85e82fe459dcc6e4e6b1afa3bed5396" ns2:_="" ns3:_="">
    <xsd:import namespace="a2c087c1-1672-420e-9c9e-1013c3337ae4"/>
    <xsd:import namespace="2c043eba-9728-4f2c-bc12-91f3020ba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Tim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087c1-1672-420e-9c9e-1013c3337ae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6e18282-f841-4716-866e-2ec8a46056bf}" ma:internalName="TaxCatchAll" ma:showField="CatchAllData" ma:web="a2c087c1-1672-420e-9c9e-1013c3337a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43eba-9728-4f2c-bc12-91f3020ba3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Time" ma:index="21" nillable="true" ma:displayName="Time" ma:format="DateTime" ma:internalName="Tim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359d853-7ea5-4400-ba68-2508ad90214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043eba-9728-4f2c-bc12-91f3020ba39e">
      <Terms xmlns="http://schemas.microsoft.com/office/infopath/2007/PartnerControls"/>
    </lcf76f155ced4ddcb4097134ff3c332f>
    <TaxCatchAll xmlns="a2c087c1-1672-420e-9c9e-1013c3337ae4" xsi:nil="true"/>
    <Time xmlns="2c043eba-9728-4f2c-bc12-91f3020ba39e" xsi:nil="true"/>
  </documentManagement>
</p:properties>
</file>

<file path=customXml/itemProps1.xml><?xml version="1.0" encoding="utf-8"?>
<ds:datastoreItem xmlns:ds="http://schemas.openxmlformats.org/officeDocument/2006/customXml" ds:itemID="{0BF95B1C-6BCC-41A4-B7D0-692438E41647}"/>
</file>

<file path=customXml/itemProps2.xml><?xml version="1.0" encoding="utf-8"?>
<ds:datastoreItem xmlns:ds="http://schemas.openxmlformats.org/officeDocument/2006/customXml" ds:itemID="{7E0C6A55-E571-4995-931A-89B95F51FAB8}"/>
</file>

<file path=customXml/itemProps3.xml><?xml version="1.0" encoding="utf-8"?>
<ds:datastoreItem xmlns:ds="http://schemas.openxmlformats.org/officeDocument/2006/customXml" ds:itemID="{9F5FFE99-9C5A-43D1-BA51-0DE45B08B3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70</vt:i4>
      </vt:variant>
    </vt:vector>
  </HeadingPairs>
  <TitlesOfParts>
    <vt:vector size="77" baseType="lpstr">
      <vt:lpstr>Budget</vt:lpstr>
      <vt:lpstr>Suggestions</vt:lpstr>
      <vt:lpstr>SuggestionCalculations</vt:lpstr>
      <vt:lpstr>Chart Data</vt:lpstr>
      <vt:lpstr>RulesOfThumb</vt:lpstr>
      <vt:lpstr>Dropdowns</vt:lpstr>
      <vt:lpstr>HelperFunctions</vt:lpstr>
      <vt:lpstr>AnnualTotalIncome</vt:lpstr>
      <vt:lpstr>BalanceTotal</vt:lpstr>
      <vt:lpstr>ExpensesTotal</vt:lpstr>
      <vt:lpstr>Goal</vt:lpstr>
      <vt:lpstr>GoalCreateBudget</vt:lpstr>
      <vt:lpstr>GoalCutOnExpenses</vt:lpstr>
      <vt:lpstr>GoalOther</vt:lpstr>
      <vt:lpstr>GoalReduceDebt</vt:lpstr>
      <vt:lpstr>GoalSaveMoney</vt:lpstr>
      <vt:lpstr>GoalStayOnTrack</vt:lpstr>
      <vt:lpstr>HasPersonalization</vt:lpstr>
      <vt:lpstr>Home</vt:lpstr>
      <vt:lpstr>HomeOther</vt:lpstr>
      <vt:lpstr>HomeOwner</vt:lpstr>
      <vt:lpstr>HomeRenting</vt:lpstr>
      <vt:lpstr>IncomeTotal</vt:lpstr>
      <vt:lpstr>IsGoalCreateBudget</vt:lpstr>
      <vt:lpstr>IsGoalCutOnExpenses</vt:lpstr>
      <vt:lpstr>IsGoalOther</vt:lpstr>
      <vt:lpstr>IsGoalReduceDebt</vt:lpstr>
      <vt:lpstr>IsGoalSaveMoney</vt:lpstr>
      <vt:lpstr>IsGoalStayOnTrack</vt:lpstr>
      <vt:lpstr>IsHomeOther</vt:lpstr>
      <vt:lpstr>IsHomeOwner</vt:lpstr>
      <vt:lpstr>IsHomeRenting</vt:lpstr>
      <vt:lpstr>IsLifeCouple</vt:lpstr>
      <vt:lpstr>IsLifeCoupleKids</vt:lpstr>
      <vt:lpstr>IsLifeOther</vt:lpstr>
      <vt:lpstr>IsLifeSingle</vt:lpstr>
      <vt:lpstr>IsLifeSingleKids</vt:lpstr>
      <vt:lpstr>IsWorkFullTime</vt:lpstr>
      <vt:lpstr>IsWorkOther</vt:lpstr>
      <vt:lpstr>IsWorkPartTime</vt:lpstr>
      <vt:lpstr>IsWorkRetired</vt:lpstr>
      <vt:lpstr>IsWorkSelfEmployed</vt:lpstr>
      <vt:lpstr>IsWorkStudent</vt:lpstr>
      <vt:lpstr>IsWorkUnemployed</vt:lpstr>
      <vt:lpstr>Life</vt:lpstr>
      <vt:lpstr>LifeCouple</vt:lpstr>
      <vt:lpstr>LifeCoupleKids</vt:lpstr>
      <vt:lpstr>LifeOther</vt:lpstr>
      <vt:lpstr>LifeSingle</vt:lpstr>
      <vt:lpstr>LifeSingleKids</vt:lpstr>
      <vt:lpstr>Periods</vt:lpstr>
      <vt:lpstr>SavingsTotal</vt:lpstr>
      <vt:lpstr>SavingsType1</vt:lpstr>
      <vt:lpstr>SavingsTypeAll</vt:lpstr>
      <vt:lpstr>TotalChildcare</vt:lpstr>
      <vt:lpstr>TotalClothing</vt:lpstr>
      <vt:lpstr>TotalCommunications</vt:lpstr>
      <vt:lpstr>TotalDebt</vt:lpstr>
      <vt:lpstr>TotalEducation</vt:lpstr>
      <vt:lpstr>TotalFees</vt:lpstr>
      <vt:lpstr>TotalFood</vt:lpstr>
      <vt:lpstr>TotalGifts</vt:lpstr>
      <vt:lpstr>TotalHousing</vt:lpstr>
      <vt:lpstr>TotalInsurance</vt:lpstr>
      <vt:lpstr>TotalMedical</vt:lpstr>
      <vt:lpstr>TotalPersonalCare</vt:lpstr>
      <vt:lpstr>TotalPets</vt:lpstr>
      <vt:lpstr>TotalRecreation</vt:lpstr>
      <vt:lpstr>TotalTranportation</vt:lpstr>
      <vt:lpstr>Work</vt:lpstr>
      <vt:lpstr>WorkFulltime</vt:lpstr>
      <vt:lpstr>WorkOther</vt:lpstr>
      <vt:lpstr>WorkParttime</vt:lpstr>
      <vt:lpstr>WorkRetired</vt:lpstr>
      <vt:lpstr>WorkSelfemployed</vt:lpstr>
      <vt:lpstr>WorkStudent</vt:lpstr>
      <vt:lpstr>WorkUnemployed</vt:lpstr>
    </vt:vector>
  </TitlesOfParts>
  <Company>FCAC-ACFC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Kent</dc:creator>
  <cp:lastModifiedBy>Lewis Kent</cp:lastModifiedBy>
  <dcterms:created xsi:type="dcterms:W3CDTF">2019-01-30T12:14:23Z</dcterms:created>
  <dcterms:modified xsi:type="dcterms:W3CDTF">2023-04-05T18:46:30Z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0x010100568E74FC8DF55C4CAF8B7D67CF7F24DE</vt:lpwstr>
  </property>
</Properties>
</file>